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3'!$A$1:$P$126</definedName>
  </definedNames>
  <calcPr fullCalcOnLoad="1"/>
</workbook>
</file>

<file path=xl/sharedStrings.xml><?xml version="1.0" encoding="utf-8"?>
<sst xmlns="http://schemas.openxmlformats.org/spreadsheetml/2006/main" count="414" uniqueCount="327">
  <si>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</si>
  <si>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</si>
  <si>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</si>
  <si>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</si>
  <si>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</si>
  <si>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</si>
  <si>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</si>
  <si>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</si>
  <si>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</si>
  <si>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</si>
  <si>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</si>
  <si>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</si>
  <si>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</si>
  <si>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</si>
  <si>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</si>
  <si>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</si>
  <si>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</si>
  <si>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</si>
  <si>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</si>
  <si>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</si>
  <si>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</si>
  <si>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</si>
  <si>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</si>
  <si>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</si>
  <si>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</si>
  <si>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</si>
  <si>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</si>
  <si>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</si>
  <si>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</si>
  <si>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</si>
  <si>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</si>
  <si>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</si>
  <si>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</si>
  <si>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</si>
  <si>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</si>
  <si>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</si>
  <si>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</si>
  <si>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</si>
  <si>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</si>
  <si>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</si>
  <si>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</si>
  <si>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</si>
  <si>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</si>
  <si>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</si>
  <si>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</si>
  <si>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</si>
  <si>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</si>
  <si>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</si>
  <si>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</si>
  <si>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</si>
  <si>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</si>
  <si>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</si>
  <si>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</si>
  <si>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</si>
  <si>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</si>
  <si>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</si>
  <si>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</si>
  <si>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</si>
  <si>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</si>
  <si>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</si>
  <si>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</si>
  <si>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</si>
  <si>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</si>
  <si>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</si>
  <si>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</si>
  <si>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</si>
  <si>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</si>
  <si>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</si>
  <si>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</si>
  <si>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</si>
  <si>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</si>
  <si>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</si>
  <si>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</si>
  <si>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</si>
  <si>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</si>
  <si>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</si>
  <si>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</si>
  <si>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</si>
  <si>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</si>
  <si>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</si>
  <si>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</si>
  <si>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</si>
  <si>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</si>
  <si>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</si>
  <si>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</si>
  <si>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</si>
  <si>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</si>
  <si>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</si>
  <si>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</si>
  <si>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</si>
  <si>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</si>
  <si>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</si>
  <si>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</si>
  <si>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</si>
  <si>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</si>
  <si>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</si>
  <si>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</si>
  <si>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</si>
  <si>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</si>
  <si>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</si>
  <si>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</si>
  <si>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</si>
  <si>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</si>
  <si>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</si>
  <si>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</si>
  <si>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</si>
  <si>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</si>
  <si>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</si>
  <si>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</si>
  <si>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</si>
  <si>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</si>
  <si>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</si>
  <si>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</si>
  <si>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</si>
  <si>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</si>
  <si>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</si>
  <si>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</si>
  <si>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</si>
  <si>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</si>
  <si>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</si>
  <si>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</si>
  <si>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</si>
  <si>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</si>
  <si>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</si>
  <si>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</si>
  <si>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</si>
  <si>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</si>
  <si>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</si>
  <si>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</si>
  <si>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</si>
  <si>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</si>
  <si>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</si>
  <si>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</si>
  <si>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</si>
  <si>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</si>
  <si>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</si>
  <si>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</si>
  <si>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</si>
  <si>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</si>
  <si>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</si>
  <si>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</si>
  <si>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</si>
  <si>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</si>
  <si>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</si>
  <si>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</si>
  <si>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</si>
  <si>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</si>
  <si>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</si>
  <si>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</si>
  <si>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</si>
  <si>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</si>
  <si>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</si>
  <si>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</si>
  <si>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</si>
  <si>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</si>
  <si>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</si>
  <si>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</si>
  <si>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</si>
  <si>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</si>
  <si>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</si>
  <si>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</si>
  <si>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</si>
  <si>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</si>
  <si>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</si>
  <si>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</si>
  <si>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</si>
  <si>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</si>
  <si>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</si>
  <si>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</si>
  <si>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</si>
  <si>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</si>
  <si>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</si>
  <si>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</si>
  <si>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</si>
  <si>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</si>
  <si>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</si>
  <si>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</si>
  <si>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</si>
  <si>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</si>
  <si>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</si>
  <si>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</si>
  <si>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</si>
  <si>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</si>
  <si>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</si>
  <si>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</si>
  <si>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</si>
  <si>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</si>
  <si>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</si>
  <si>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</si>
  <si>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</si>
  <si>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</si>
  <si>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</si>
  <si>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</si>
  <si>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</si>
  <si>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</si>
  <si>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</si>
  <si>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</si>
  <si>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</si>
  <si>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</si>
  <si>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</si>
  <si>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</si>
  <si>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</si>
  <si>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</si>
  <si>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</si>
  <si>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</si>
  <si>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</si>
  <si>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</si>
  <si>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</si>
  <si>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</si>
  <si>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</si>
  <si>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</si>
  <si>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</si>
  <si>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</si>
  <si>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</si>
  <si>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</si>
  <si>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</si>
  <si>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</si>
  <si>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</si>
  <si>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</si>
  <si>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</si>
  <si>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</si>
  <si>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</si>
  <si>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</si>
  <si>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</si>
  <si>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</si>
  <si>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</si>
  <si>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</si>
  <si>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</si>
  <si>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</si>
  <si>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</si>
  <si>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</si>
  <si>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</si>
  <si>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</si>
  <si>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</si>
  <si>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</si>
  <si>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</si>
  <si>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</si>
  <si>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</si>
  <si>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</si>
  <si>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</si>
  <si>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</si>
  <si>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</si>
  <si>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</si>
  <si>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</si>
  <si>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</si>
  <si>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</si>
  <si>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</si>
  <si>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</si>
  <si>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</si>
  <si>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</si>
  <si>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</si>
  <si>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</si>
  <si>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</si>
  <si>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</si>
  <si>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</si>
  <si>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</si>
  <si>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</si>
  <si>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</si>
  <si>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</si>
  <si>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</si>
  <si>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</si>
  <si>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</si>
  <si>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</si>
  <si>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</si>
  <si>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</si>
  <si>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</si>
  <si>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</si>
  <si>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</si>
  <si>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</si>
  <si>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</si>
  <si>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</si>
  <si>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</si>
  <si>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</si>
  <si>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</si>
  <si>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</si>
  <si>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</si>
  <si>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</si>
  <si>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</si>
  <si>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</si>
  <si>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</si>
  <si>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</si>
  <si>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</si>
  <si>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</si>
  <si>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</si>
  <si>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</si>
  <si>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</si>
  <si>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</si>
  <si>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</si>
  <si>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</si>
  <si>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</si>
  <si>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</si>
  <si>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</si>
  <si>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</si>
  <si>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</si>
  <si>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</si>
  <si>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</si>
  <si>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</si>
  <si>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</si>
  <si>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</si>
  <si>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</si>
  <si>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</si>
  <si>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</si>
  <si>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</si>
  <si>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</si>
  <si>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</si>
  <si>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</si>
  <si>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</si>
  <si>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</si>
  <si>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</si>
  <si>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</si>
  <si>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</si>
  <si>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</si>
  <si>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</si>
  <si>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</si>
  <si>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</si>
  <si>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</si>
  <si>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</si>
  <si>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</si>
  <si>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</si>
  <si>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</si>
  <si>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</si>
  <si>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</si>
  <si>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</si>
  <si>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</si>
  <si>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</si>
  <si>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О.В.Сивак</t>
  </si>
  <si>
    <t>від  15.10.2019  № 878-77-VII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</si>
</sst>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 horizontal="left"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5"/>
  <sheetViews>
    <sheetView tabSelected="1" view="pageBreakPreview" zoomScaleSheetLayoutView="100" workbookViewId="0" topLeftCell="D1">
      <selection activeCell="K87" sqref="K87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70" t="s">
        <v>6</v>
      </c>
      <c r="L2" s="71"/>
      <c r="M2" s="71"/>
      <c r="N2" s="71"/>
      <c r="O2" s="71"/>
      <c r="P2" s="71"/>
    </row>
    <row r="3" spans="2:16" ht="14.25" customHeight="1">
      <c r="B3" s="26"/>
      <c r="C3" s="26"/>
      <c r="D3" s="26"/>
      <c r="K3" s="73" t="s">
        <v>280</v>
      </c>
      <c r="L3" s="71"/>
      <c r="M3" s="71"/>
      <c r="N3" s="71"/>
      <c r="O3" s="71"/>
      <c r="P3" s="71"/>
    </row>
    <row r="4" spans="2:16" ht="13.5" customHeight="1">
      <c r="B4" s="26"/>
      <c r="C4" s="26"/>
      <c r="D4" s="26"/>
      <c r="K4" s="73" t="s">
        <v>281</v>
      </c>
      <c r="L4" s="71"/>
      <c r="M4" s="71"/>
      <c r="N4" s="71"/>
      <c r="O4" s="71"/>
      <c r="P4" s="71"/>
    </row>
    <row r="5" spans="1:16" ht="14.25" customHeight="1">
      <c r="A5" s="26"/>
      <c r="B5" s="26"/>
      <c r="C5" s="26"/>
      <c r="D5" s="26"/>
      <c r="K5" s="72" t="s">
        <v>326</v>
      </c>
      <c r="L5" s="71"/>
      <c r="M5" s="71"/>
      <c r="N5" s="71"/>
      <c r="O5" s="71"/>
      <c r="P5" s="71"/>
    </row>
    <row r="6" spans="1:4" ht="12.75">
      <c r="A6" s="26"/>
      <c r="B6" s="26"/>
      <c r="C6" s="26"/>
      <c r="D6" s="26"/>
    </row>
    <row r="7" spans="1:16" ht="18.75">
      <c r="A7" s="74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8.75">
      <c r="A8" s="74" t="s">
        <v>275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10" spans="1:16" ht="12.75">
      <c r="A10" s="1"/>
      <c r="P10" s="1" t="s">
        <v>0</v>
      </c>
    </row>
    <row r="11" spans="1:16" ht="32.25" customHeight="1">
      <c r="A11" s="63" t="s">
        <v>8</v>
      </c>
      <c r="B11" s="63" t="s">
        <v>9</v>
      </c>
      <c r="C11" s="63" t="s">
        <v>302</v>
      </c>
      <c r="D11" s="65" t="s">
        <v>303</v>
      </c>
      <c r="E11" s="63" t="s">
        <v>1</v>
      </c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4" t="s">
        <v>5</v>
      </c>
    </row>
    <row r="12" spans="1:16" ht="22.5" customHeight="1">
      <c r="A12" s="63"/>
      <c r="B12" s="63"/>
      <c r="C12" s="63"/>
      <c r="D12" s="66"/>
      <c r="E12" s="64" t="s">
        <v>3</v>
      </c>
      <c r="F12" s="63" t="s">
        <v>10</v>
      </c>
      <c r="G12" s="63" t="s">
        <v>11</v>
      </c>
      <c r="H12" s="63"/>
      <c r="I12" s="63" t="s">
        <v>12</v>
      </c>
      <c r="J12" s="64" t="s">
        <v>3</v>
      </c>
      <c r="K12" s="64" t="s">
        <v>4</v>
      </c>
      <c r="L12" s="63" t="s">
        <v>10</v>
      </c>
      <c r="M12" s="63" t="s">
        <v>11</v>
      </c>
      <c r="N12" s="63"/>
      <c r="O12" s="63" t="s">
        <v>12</v>
      </c>
      <c r="P12" s="64"/>
    </row>
    <row r="13" spans="1:16" ht="23.25" customHeight="1">
      <c r="A13" s="63"/>
      <c r="B13" s="63"/>
      <c r="C13" s="63"/>
      <c r="D13" s="66"/>
      <c r="E13" s="64"/>
      <c r="F13" s="63"/>
      <c r="G13" s="63" t="s">
        <v>13</v>
      </c>
      <c r="H13" s="63" t="s">
        <v>14</v>
      </c>
      <c r="I13" s="63"/>
      <c r="J13" s="64"/>
      <c r="K13" s="64"/>
      <c r="L13" s="63"/>
      <c r="M13" s="63" t="s">
        <v>13</v>
      </c>
      <c r="N13" s="63" t="s">
        <v>14</v>
      </c>
      <c r="O13" s="63"/>
      <c r="P13" s="64"/>
    </row>
    <row r="14" spans="1:16" ht="20.25" customHeight="1">
      <c r="A14" s="63"/>
      <c r="B14" s="63"/>
      <c r="C14" s="63"/>
      <c r="D14" s="67"/>
      <c r="E14" s="64"/>
      <c r="F14" s="63"/>
      <c r="G14" s="63"/>
      <c r="H14" s="63"/>
      <c r="I14" s="63"/>
      <c r="J14" s="64"/>
      <c r="K14" s="64"/>
      <c r="L14" s="63"/>
      <c r="M14" s="63"/>
      <c r="N14" s="63"/>
      <c r="O14" s="63"/>
      <c r="P14" s="64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54667845</v>
      </c>
      <c r="F16" s="25">
        <f t="shared" si="0"/>
        <v>54667845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13465369</v>
      </c>
      <c r="K16" s="40">
        <f t="shared" si="0"/>
        <v>13350369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105000</v>
      </c>
      <c r="P16" s="40">
        <f t="shared" si="0"/>
        <v>68133214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15400612</v>
      </c>
      <c r="F17" s="25">
        <f aca="true" t="shared" si="1" ref="F17:P17">F18+F19</f>
        <v>15400612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8">K17+L17+O17</f>
        <v>794763</v>
      </c>
      <c r="K17" s="40">
        <f t="shared" si="1"/>
        <v>784763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16195375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15110000+650000+199500+325682-1027310-1080000</f>
        <v>14177872</v>
      </c>
      <c r="F18" s="22">
        <f aca="true" t="shared" si="3" ref="F18:F79">E18</f>
        <v>14177872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14187872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435000+231910+315000+28481+113000+119349-20000</f>
        <v>1222740</v>
      </c>
      <c r="F19" s="22">
        <f t="shared" si="3"/>
        <v>1222740</v>
      </c>
      <c r="G19" s="22"/>
      <c r="H19" s="22"/>
      <c r="I19" s="22"/>
      <c r="J19" s="40">
        <f t="shared" si="2"/>
        <v>784763</v>
      </c>
      <c r="K19" s="39">
        <f>199900+209671+137541+117000+120651</f>
        <v>784763</v>
      </c>
      <c r="L19" s="22"/>
      <c r="M19" s="22"/>
      <c r="N19" s="22"/>
      <c r="O19" s="22">
        <v>0</v>
      </c>
      <c r="P19" s="39">
        <f t="shared" si="4"/>
        <v>2007503</v>
      </c>
      <c r="Q19" s="24">
        <v>861810</v>
      </c>
      <c r="R19" s="24">
        <f>P19-Q19</f>
        <v>1145693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22867764</v>
      </c>
      <c r="F20" s="25">
        <f aca="true" t="shared" si="5" ref="F20:P20">F21+F22</f>
        <v>22867764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825042</v>
      </c>
      <c r="K20" s="40">
        <f t="shared" si="5"/>
        <v>818042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7000</v>
      </c>
      <c r="P20" s="40">
        <f t="shared" si="5"/>
        <v>23692806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19335600-100000+323922+400000+560000+115000+1442+530000+380000+275000+361400</f>
        <v>22182364</v>
      </c>
      <c r="F21" s="22">
        <f t="shared" si="3"/>
        <v>22182364</v>
      </c>
      <c r="G21" s="22"/>
      <c r="H21" s="22"/>
      <c r="I21" s="22"/>
      <c r="J21" s="40">
        <f t="shared" si="2"/>
        <v>825042</v>
      </c>
      <c r="K21" s="39">
        <f>300000+18500+141542+17000+311000+30000</f>
        <v>818042</v>
      </c>
      <c r="L21" s="22"/>
      <c r="M21" s="22"/>
      <c r="N21" s="22"/>
      <c r="O21" s="22">
        <v>7000</v>
      </c>
      <c r="P21" s="39">
        <f t="shared" si="4"/>
        <v>23007406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685400</v>
      </c>
      <c r="F22" s="25">
        <f aca="true" t="shared" si="6" ref="F22:P22">F23+F24+F25</f>
        <v>685400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685400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f>380100+40000</f>
        <v>420100</v>
      </c>
      <c r="F24" s="22">
        <f t="shared" si="3"/>
        <v>420100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420100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11627364</v>
      </c>
      <c r="F30" s="42">
        <f aca="true" t="shared" si="8" ref="F30:P30">F31+F32+F33+F34+F35+F36</f>
        <v>11627364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3799626</v>
      </c>
      <c r="K30" s="42">
        <f t="shared" si="8"/>
        <v>3701626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98000</v>
      </c>
      <c r="P30" s="42">
        <f t="shared" si="8"/>
        <v>15426990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</f>
        <v>356000</v>
      </c>
      <c r="F32" s="22">
        <f t="shared" si="3"/>
        <v>356000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2140846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125000+30000+29000+3000+8000+50000</f>
        <v>245000</v>
      </c>
      <c r="F33" s="22">
        <f t="shared" si="3"/>
        <v>245000</v>
      </c>
      <c r="G33" s="29"/>
      <c r="H33" s="29"/>
      <c r="I33" s="29"/>
      <c r="J33" s="40">
        <f t="shared" si="2"/>
        <v>0</v>
      </c>
      <c r="K33" s="41">
        <v>0</v>
      </c>
      <c r="L33" s="29"/>
      <c r="M33" s="29"/>
      <c r="N33" s="29"/>
      <c r="O33" s="29">
        <v>0</v>
      </c>
      <c r="P33" s="39">
        <f t="shared" si="4"/>
        <v>245000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1000000+538571+105500</f>
        <v>1644071</v>
      </c>
      <c r="F34" s="22">
        <f t="shared" si="3"/>
        <v>1644071</v>
      </c>
      <c r="G34" s="29"/>
      <c r="H34" s="29"/>
      <c r="I34" s="29"/>
      <c r="J34" s="40">
        <f t="shared" si="2"/>
        <v>1519575</v>
      </c>
      <c r="K34" s="41">
        <f>389575-199500+35000+214500+1080000</f>
        <v>1519575</v>
      </c>
      <c r="L34" s="29"/>
      <c r="M34" s="29"/>
      <c r="N34" s="29"/>
      <c r="O34" s="29"/>
      <c r="P34" s="39">
        <f t="shared" si="4"/>
        <v>3163646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7492000+1134293-186000+50000+80000+700000</f>
        <v>9270293</v>
      </c>
      <c r="F35" s="22">
        <f t="shared" si="3"/>
        <v>9270293</v>
      </c>
      <c r="G35" s="29"/>
      <c r="H35" s="29"/>
      <c r="I35" s="29"/>
      <c r="J35" s="40">
        <f t="shared" si="2"/>
        <v>495205</v>
      </c>
      <c r="K35" s="41">
        <f>8205+119000+150000+12000-39560+77560+70000</f>
        <v>397205</v>
      </c>
      <c r="L35" s="29"/>
      <c r="M35" s="29"/>
      <c r="N35" s="29"/>
      <c r="O35" s="29">
        <f>49000+49000</f>
        <v>98000</v>
      </c>
      <c r="P35" s="39">
        <f t="shared" si="4"/>
        <v>9765498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2438000</v>
      </c>
      <c r="F37" s="43">
        <f aca="true" t="shared" si="9" ref="F37:P37">F38+F39+F40+F41+F42</f>
        <v>2438000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8045938</v>
      </c>
      <c r="K37" s="43">
        <f t="shared" si="9"/>
        <v>8045938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10483938</v>
      </c>
      <c r="U37" s="24"/>
    </row>
    <row r="38" spans="1:21" ht="30.7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2247200</v>
      </c>
      <c r="K38" s="41">
        <f>2608600-361400</f>
        <v>2247200</v>
      </c>
      <c r="L38" s="29"/>
      <c r="M38" s="29"/>
      <c r="N38" s="29"/>
      <c r="O38" s="29"/>
      <c r="P38" s="39">
        <f t="shared" si="4"/>
        <v>2247200</v>
      </c>
      <c r="U38" s="28"/>
    </row>
    <row r="39" spans="1:21" s="28" customFormat="1" ht="31.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3007000-1100000+186000+200000+80000</f>
        <v>2373000</v>
      </c>
      <c r="F40" s="22">
        <f t="shared" si="3"/>
        <v>2373000</v>
      </c>
      <c r="G40" s="29"/>
      <c r="H40" s="29"/>
      <c r="I40" s="29"/>
      <c r="J40" s="40">
        <f t="shared" si="2"/>
        <v>5798738</v>
      </c>
      <c r="K40" s="41">
        <f>900000+519567+42686+42925+761000-363440+1496000+2400000</f>
        <v>5798738</v>
      </c>
      <c r="L40" s="29"/>
      <c r="M40" s="29"/>
      <c r="N40" s="29"/>
      <c r="O40" s="29"/>
      <c r="P40" s="39">
        <f t="shared" si="4"/>
        <v>8171738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f>5000+35000</f>
        <v>40000</v>
      </c>
      <c r="F41" s="22">
        <f t="shared" si="3"/>
        <v>40000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40000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f>60000-35000</f>
        <v>25000</v>
      </c>
      <c r="F42" s="22">
        <f t="shared" si="3"/>
        <v>25000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25000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492905</v>
      </c>
      <c r="F43" s="43">
        <f aca="true" t="shared" si="10" ref="F43:P43">F44+F45+F46</f>
        <v>492905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492905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471000-29000-319095</f>
        <v>122905</v>
      </c>
      <c r="F44" s="22">
        <f t="shared" si="3"/>
        <v>122905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122905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f>80000+20000</f>
        <v>100000</v>
      </c>
      <c r="F45" s="22">
        <f t="shared" si="3"/>
        <v>100000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100000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f>200000+30000+40000</f>
        <v>270000</v>
      </c>
      <c r="F46" s="22">
        <f t="shared" si="3"/>
        <v>270000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270000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69265909.49000001</v>
      </c>
      <c r="F47" s="31">
        <f aca="true" t="shared" si="11" ref="F47:P47">F48+F50+F58</f>
        <v>69265909.49000001</v>
      </c>
      <c r="G47" s="31">
        <f t="shared" si="11"/>
        <v>46351026.97</v>
      </c>
      <c r="H47" s="31">
        <f t="shared" si="11"/>
        <v>7524027.800000001</v>
      </c>
      <c r="I47" s="31">
        <f t="shared" si="11"/>
        <v>0</v>
      </c>
      <c r="J47" s="40">
        <f t="shared" si="2"/>
        <v>5965828</v>
      </c>
      <c r="K47" s="43">
        <f t="shared" si="11"/>
        <v>3476978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241000</v>
      </c>
      <c r="P47" s="43">
        <f t="shared" si="11"/>
        <v>75231737.49000001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16700</v>
      </c>
      <c r="I48" s="31">
        <f t="shared" si="12"/>
        <v>0</v>
      </c>
      <c r="J48" s="40">
        <f t="shared" si="2"/>
        <v>6200</v>
      </c>
      <c r="K48" s="43">
        <f t="shared" si="12"/>
        <v>6200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510500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f>15700+1000</f>
        <v>16700</v>
      </c>
      <c r="I49" s="29"/>
      <c r="J49" s="40">
        <f t="shared" si="2"/>
        <v>6200</v>
      </c>
      <c r="K49" s="41">
        <v>6200</v>
      </c>
      <c r="L49" s="29"/>
      <c r="M49" s="29"/>
      <c r="N49" s="29"/>
      <c r="O49" s="29"/>
      <c r="P49" s="39">
        <f t="shared" si="4"/>
        <v>510500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67566919.49000001</v>
      </c>
      <c r="F50" s="43">
        <f aca="true" t="shared" si="13" ref="F50:P50">F51+F52+F53+F54+F55+F56+F57</f>
        <v>67566919.49000001</v>
      </c>
      <c r="G50" s="43">
        <f t="shared" si="13"/>
        <v>45293026.97</v>
      </c>
      <c r="H50" s="43">
        <f t="shared" si="13"/>
        <v>7235327.800000001</v>
      </c>
      <c r="I50" s="43">
        <f t="shared" si="13"/>
        <v>0</v>
      </c>
      <c r="J50" s="43">
        <f t="shared" si="13"/>
        <v>5940428</v>
      </c>
      <c r="K50" s="43">
        <f t="shared" si="13"/>
        <v>3470778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241000</v>
      </c>
      <c r="P50" s="43">
        <f t="shared" si="13"/>
        <v>73507347.49000001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14237000+1464000-72185.38-370000+29200+21060+144300+27489+318000</f>
        <v>15798863.62</v>
      </c>
      <c r="F51" s="22">
        <f t="shared" si="3"/>
        <v>15798863.62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2141589</v>
      </c>
      <c r="K51" s="41">
        <f>200000+11488+41265+38806+4022+123000+188908</f>
        <v>607489</v>
      </c>
      <c r="L51" s="29">
        <v>1506100</v>
      </c>
      <c r="M51" s="29"/>
      <c r="N51" s="29"/>
      <c r="O51" s="29">
        <v>28000</v>
      </c>
      <c r="P51" s="39">
        <f t="shared" si="4"/>
        <v>17940452.619999997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13883000+31301300+2504885-1464000+199800-372511.76-233077.37-17000+430000+61+84672+42000+200000+210000-167101+91089+604000+417835</f>
        <v>47714951.870000005</v>
      </c>
      <c r="F52" s="22">
        <f t="shared" si="3"/>
        <v>47714951.870000005</v>
      </c>
      <c r="G52" s="29">
        <f>7400000+25660000-305337.51-119866.21-35000+61-259903+400000-97</f>
        <v>32739857.279999997</v>
      </c>
      <c r="H52" s="29">
        <f>3830900-86840.6+15000+1000000+30000+100000</f>
        <v>4889059.4</v>
      </c>
      <c r="I52" s="29"/>
      <c r="J52" s="40">
        <f t="shared" si="2"/>
        <v>3748406</v>
      </c>
      <c r="K52" s="41">
        <f>1250000-185000+22000+193777+643398+25000+100000+13600+164052+505000+381864+37000-337835</f>
        <v>2812856</v>
      </c>
      <c r="L52" s="29">
        <f>155800+566750</f>
        <v>722550</v>
      </c>
      <c r="M52" s="29">
        <v>150000</v>
      </c>
      <c r="N52" s="29">
        <v>36000</v>
      </c>
      <c r="O52" s="29">
        <f>185000+28000</f>
        <v>213000</v>
      </c>
      <c r="P52" s="39">
        <f t="shared" si="4"/>
        <v>51463357.870000005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1192000+124810+1218439-1218439+30605+19200</f>
        <v>1366615</v>
      </c>
      <c r="F55" s="22">
        <f t="shared" si="3"/>
        <v>1366615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1417048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1194690</v>
      </c>
      <c r="F58" s="31">
        <f aca="true" t="shared" si="14" ref="F58:P58">F59</f>
        <v>1194690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1213890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1100000+17000+980+20000+18570+5800+32340</f>
        <v>1194690</v>
      </c>
      <c r="F59" s="22">
        <f t="shared" si="3"/>
        <v>1194690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1213890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60857570.89</v>
      </c>
      <c r="F60" s="31">
        <f aca="true" t="shared" si="15" ref="F60:P60">F61+F63</f>
        <v>60857570.89</v>
      </c>
      <c r="G60" s="31">
        <f t="shared" si="15"/>
        <v>9136000</v>
      </c>
      <c r="H60" s="31">
        <f t="shared" si="15"/>
        <v>660000</v>
      </c>
      <c r="I60" s="31">
        <f t="shared" si="15"/>
        <v>0</v>
      </c>
      <c r="J60" s="40">
        <f t="shared" si="2"/>
        <v>7154303</v>
      </c>
      <c r="K60" s="43">
        <f t="shared" si="15"/>
        <v>7024300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68011873.89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6345000</v>
      </c>
      <c r="F61" s="29">
        <f aca="true" t="shared" si="16" ref="F61:P61">F62</f>
        <v>6345000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6345003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6270000+60000+15000</f>
        <v>6345000</v>
      </c>
      <c r="F62" s="22">
        <f t="shared" si="3"/>
        <v>6345000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6345003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E64+E65+E66+E67+E68+E69+E70+E71+E72+E73+E74+E75+E76+E77+E78+E79+E80+E81+E82+E83+E84+E85+E86+E87+E88+E89+E90+E91+E92</f>
        <v>54512570.89</v>
      </c>
      <c r="F63" s="43">
        <f aca="true" t="shared" si="17" ref="F63:P63">F64+F65+F66+F67+F68+F69+F70+F71+F72+F73+F74+F75+F76+F77+F78+F79+F80+F81+F82+F83+F84+F85+F86+F87+F88+F89+F90+F91+F92</f>
        <v>54512570.89</v>
      </c>
      <c r="G63" s="43">
        <f t="shared" si="17"/>
        <v>4516000</v>
      </c>
      <c r="H63" s="43">
        <f t="shared" si="17"/>
        <v>358000</v>
      </c>
      <c r="I63" s="43">
        <f t="shared" si="17"/>
        <v>0</v>
      </c>
      <c r="J63" s="43">
        <f t="shared" si="17"/>
        <v>7154300</v>
      </c>
      <c r="K63" s="43">
        <f t="shared" si="17"/>
        <v>7024300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61666870.89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f>200000+125000</f>
        <v>325000</v>
      </c>
      <c r="F71" s="22">
        <f t="shared" si="3"/>
        <v>325000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325000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f>62000-9742.75</f>
        <v>52257.25</v>
      </c>
      <c r="F73" s="22">
        <f t="shared" si="3"/>
        <v>52257.25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52257.25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12435540-189000-2500000-882500-56892.77+629450</f>
        <v>9436597.23</v>
      </c>
      <c r="F74" s="22">
        <f t="shared" si="3"/>
        <v>9436597.23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9436597.23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f>601500+2159.41+120000</f>
        <v>723659.41</v>
      </c>
      <c r="F75" s="22">
        <f t="shared" si="3"/>
        <v>723659.41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723659.41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302000+2500000-93500+400000</f>
        <v>3108500</v>
      </c>
      <c r="F78" s="22">
        <f t="shared" si="3"/>
        <v>3108500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3108500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f>26000+1000</f>
        <v>27000</v>
      </c>
      <c r="F79" s="22">
        <f t="shared" si="3"/>
        <v>27000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27000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f>4010000+4438.78+2008000</f>
        <v>6022438.779999999</v>
      </c>
      <c r="F80" s="22">
        <f aca="true" t="shared" si="18" ref="F80:F121">E80</f>
        <v>6022438.779999999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2">E80+J80</f>
        <v>6022438.779999999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f>602000+629.78+400000</f>
        <v>1002629.78</v>
      </c>
      <c r="F81" s="22">
        <f t="shared" si="18"/>
        <v>1002629.78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1002629.78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201000+800+50000+121250</f>
        <v>373050</v>
      </c>
      <c r="F82" s="22">
        <f t="shared" si="18"/>
        <v>373050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373050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f>30150+20000</f>
        <v>50150</v>
      </c>
      <c r="F83" s="22">
        <f t="shared" si="18"/>
        <v>50150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50150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14.75" customHeight="1">
      <c r="A85" s="5" t="s">
        <v>322</v>
      </c>
      <c r="B85" s="6" t="s">
        <v>321</v>
      </c>
      <c r="C85" s="6" t="s">
        <v>39</v>
      </c>
      <c r="D85" s="49" t="s">
        <v>323</v>
      </c>
      <c r="E85" s="41">
        <v>9407.55</v>
      </c>
      <c r="F85" s="22">
        <f t="shared" si="18"/>
        <v>9407.55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9407.55</v>
      </c>
    </row>
    <row r="86" spans="1:16" ht="15.75">
      <c r="A86" s="5" t="s">
        <v>314</v>
      </c>
      <c r="B86" s="6" t="s">
        <v>315</v>
      </c>
      <c r="C86" s="6" t="s">
        <v>39</v>
      </c>
      <c r="D86" s="12" t="s">
        <v>316</v>
      </c>
      <c r="E86" s="41">
        <f>851700+93500+1000300</f>
        <v>1945500</v>
      </c>
      <c r="F86" s="22">
        <f t="shared" si="18"/>
        <v>1945500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t="shared" si="19"/>
        <v>1945500</v>
      </c>
    </row>
    <row r="87" spans="1:16" ht="47.25">
      <c r="A87" s="5" t="s">
        <v>200</v>
      </c>
      <c r="B87" s="6" t="s">
        <v>201</v>
      </c>
      <c r="C87" s="6" t="s">
        <v>60</v>
      </c>
      <c r="D87" s="12" t="s">
        <v>202</v>
      </c>
      <c r="E87" s="41">
        <f>6386700+180000+200000+99508</f>
        <v>6866208</v>
      </c>
      <c r="F87" s="22">
        <f t="shared" si="18"/>
        <v>6866208</v>
      </c>
      <c r="G87" s="29">
        <v>4516000</v>
      </c>
      <c r="H87" s="29">
        <f>348000+10000</f>
        <v>358000</v>
      </c>
      <c r="I87" s="29"/>
      <c r="J87" s="40">
        <f t="shared" si="2"/>
        <v>7092300</v>
      </c>
      <c r="K87" s="41">
        <f>3950000+3000+1650000+109300-200000+1450000</f>
        <v>6962300</v>
      </c>
      <c r="L87" s="29">
        <v>130000</v>
      </c>
      <c r="M87" s="29"/>
      <c r="N87" s="29"/>
      <c r="O87" s="29"/>
      <c r="P87" s="39">
        <f t="shared" si="19"/>
        <v>13958508</v>
      </c>
    </row>
    <row r="88" spans="1:16" ht="63">
      <c r="A88" s="5" t="s">
        <v>203</v>
      </c>
      <c r="B88" s="6" t="s">
        <v>204</v>
      </c>
      <c r="C88" s="6" t="s">
        <v>59</v>
      </c>
      <c r="D88" s="12" t="s">
        <v>300</v>
      </c>
      <c r="E88" s="41">
        <f>350000-2637.11-50000</f>
        <v>297362.89</v>
      </c>
      <c r="F88" s="22">
        <f t="shared" si="18"/>
        <v>297362.89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19"/>
        <v>297362.89</v>
      </c>
    </row>
    <row r="89" spans="1:16" ht="31.5">
      <c r="A89" s="5" t="s">
        <v>205</v>
      </c>
      <c r="B89" s="6" t="s">
        <v>206</v>
      </c>
      <c r="C89" s="6" t="s">
        <v>146</v>
      </c>
      <c r="D89" s="17" t="s">
        <v>207</v>
      </c>
      <c r="E89" s="41">
        <f>50000+7000</f>
        <v>57000</v>
      </c>
      <c r="F89" s="22">
        <f t="shared" si="18"/>
        <v>57000</v>
      </c>
      <c r="G89" s="29"/>
      <c r="H89" s="29"/>
      <c r="I89" s="29"/>
      <c r="J89" s="40">
        <f aca="true" t="shared" si="20" ref="J89:J122">K89+L89+O89</f>
        <v>62000</v>
      </c>
      <c r="K89" s="41">
        <f>44000+18000</f>
        <v>62000</v>
      </c>
      <c r="L89" s="29"/>
      <c r="M89" s="29"/>
      <c r="N89" s="29"/>
      <c r="O89" s="29"/>
      <c r="P89" s="39">
        <f t="shared" si="19"/>
        <v>119000</v>
      </c>
    </row>
    <row r="90" spans="1:16" ht="15.75" hidden="1">
      <c r="A90" s="5" t="s">
        <v>217</v>
      </c>
      <c r="B90" s="6" t="s">
        <v>218</v>
      </c>
      <c r="C90" s="6" t="s">
        <v>219</v>
      </c>
      <c r="D90" s="17" t="s">
        <v>220</v>
      </c>
      <c r="E90" s="41"/>
      <c r="F90" s="22">
        <f t="shared" si="18"/>
        <v>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0</v>
      </c>
    </row>
    <row r="91" spans="1:16" ht="126">
      <c r="A91" s="5" t="s">
        <v>208</v>
      </c>
      <c r="B91" s="6" t="s">
        <v>209</v>
      </c>
      <c r="C91" s="6" t="s">
        <v>39</v>
      </c>
      <c r="D91" s="17" t="s">
        <v>301</v>
      </c>
      <c r="E91" s="41">
        <f>503000+710000-40000</f>
        <v>1173000</v>
      </c>
      <c r="F91" s="22">
        <f t="shared" si="18"/>
        <v>1173000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1173000</v>
      </c>
    </row>
    <row r="92" spans="1:16" ht="15.75">
      <c r="A92" s="5" t="s">
        <v>210</v>
      </c>
      <c r="B92" s="6" t="s">
        <v>211</v>
      </c>
      <c r="C92" s="6" t="s">
        <v>61</v>
      </c>
      <c r="D92" s="17" t="s">
        <v>212</v>
      </c>
      <c r="E92" s="41">
        <f>600000+56000+50000+50000+50000</f>
        <v>806000</v>
      </c>
      <c r="F92" s="22">
        <f t="shared" si="18"/>
        <v>806000</v>
      </c>
      <c r="G92" s="29"/>
      <c r="H92" s="29"/>
      <c r="I92" s="29"/>
      <c r="J92" s="40">
        <f t="shared" si="20"/>
        <v>0</v>
      </c>
      <c r="K92" s="41"/>
      <c r="L92" s="29"/>
      <c r="M92" s="29"/>
      <c r="N92" s="29"/>
      <c r="O92" s="29"/>
      <c r="P92" s="39">
        <f t="shared" si="19"/>
        <v>806000</v>
      </c>
    </row>
    <row r="93" spans="1:16" ht="31.5">
      <c r="A93" s="9">
        <v>10</v>
      </c>
      <c r="B93" s="27"/>
      <c r="C93" s="27"/>
      <c r="D93" s="20" t="s">
        <v>221</v>
      </c>
      <c r="E93" s="43">
        <f>E94+E96+E98</f>
        <v>7551004</v>
      </c>
      <c r="F93" s="31">
        <f aca="true" t="shared" si="21" ref="F93:P93">F94+F96+F98</f>
        <v>7551004</v>
      </c>
      <c r="G93" s="31">
        <f t="shared" si="21"/>
        <v>4793000</v>
      </c>
      <c r="H93" s="31">
        <f t="shared" si="21"/>
        <v>543500</v>
      </c>
      <c r="I93" s="31">
        <f t="shared" si="21"/>
        <v>0</v>
      </c>
      <c r="J93" s="40">
        <f t="shared" si="20"/>
        <v>588000</v>
      </c>
      <c r="K93" s="43">
        <f t="shared" si="21"/>
        <v>35000</v>
      </c>
      <c r="L93" s="31">
        <f t="shared" si="21"/>
        <v>553000</v>
      </c>
      <c r="M93" s="31">
        <f t="shared" si="21"/>
        <v>320000</v>
      </c>
      <c r="N93" s="31">
        <f t="shared" si="21"/>
        <v>125500</v>
      </c>
      <c r="O93" s="31">
        <f t="shared" si="21"/>
        <v>0</v>
      </c>
      <c r="P93" s="43">
        <f t="shared" si="21"/>
        <v>8139004</v>
      </c>
    </row>
    <row r="94" spans="1:16" ht="15.75">
      <c r="A94" s="2" t="s">
        <v>222</v>
      </c>
      <c r="B94" s="3" t="s">
        <v>79</v>
      </c>
      <c r="C94" s="4"/>
      <c r="D94" s="14" t="s">
        <v>80</v>
      </c>
      <c r="E94" s="43">
        <f>E95</f>
        <v>498400</v>
      </c>
      <c r="F94" s="31">
        <f aca="true" t="shared" si="22" ref="F94:P94">F95</f>
        <v>498400</v>
      </c>
      <c r="G94" s="31">
        <f t="shared" si="22"/>
        <v>402000</v>
      </c>
      <c r="H94" s="31">
        <f t="shared" si="22"/>
        <v>0</v>
      </c>
      <c r="I94" s="31">
        <f t="shared" si="22"/>
        <v>0</v>
      </c>
      <c r="J94" s="40">
        <f t="shared" si="20"/>
        <v>0</v>
      </c>
      <c r="K94" s="43">
        <f t="shared" si="22"/>
        <v>0</v>
      </c>
      <c r="L94" s="31">
        <f t="shared" si="22"/>
        <v>0</v>
      </c>
      <c r="M94" s="31">
        <f t="shared" si="22"/>
        <v>0</v>
      </c>
      <c r="N94" s="31">
        <f t="shared" si="22"/>
        <v>0</v>
      </c>
      <c r="O94" s="31">
        <f t="shared" si="22"/>
        <v>0</v>
      </c>
      <c r="P94" s="43">
        <f t="shared" si="22"/>
        <v>498400</v>
      </c>
    </row>
    <row r="95" spans="1:16" ht="31.5">
      <c r="A95" s="5" t="s">
        <v>223</v>
      </c>
      <c r="B95" s="6" t="s">
        <v>82</v>
      </c>
      <c r="C95" s="6" t="s">
        <v>83</v>
      </c>
      <c r="D95" s="17" t="s">
        <v>84</v>
      </c>
      <c r="E95" s="41">
        <v>498400</v>
      </c>
      <c r="F95" s="22">
        <f t="shared" si="18"/>
        <v>498400</v>
      </c>
      <c r="G95" s="29">
        <v>402000</v>
      </c>
      <c r="H95" s="29"/>
      <c r="I95" s="29"/>
      <c r="J95" s="40">
        <f t="shared" si="20"/>
        <v>0</v>
      </c>
      <c r="K95" s="41"/>
      <c r="L95" s="33"/>
      <c r="M95" s="29"/>
      <c r="N95" s="29"/>
      <c r="O95" s="29"/>
      <c r="P95" s="39">
        <f t="shared" si="19"/>
        <v>498400</v>
      </c>
    </row>
    <row r="96" spans="1:16" ht="15.75">
      <c r="A96" s="2" t="s">
        <v>224</v>
      </c>
      <c r="B96" s="3" t="s">
        <v>135</v>
      </c>
      <c r="C96" s="4"/>
      <c r="D96" s="14" t="s">
        <v>136</v>
      </c>
      <c r="E96" s="43">
        <f>E97</f>
        <v>2601244</v>
      </c>
      <c r="F96" s="31">
        <f aca="true" t="shared" si="23" ref="F96:P96">F97</f>
        <v>2601244</v>
      </c>
      <c r="G96" s="31">
        <f t="shared" si="23"/>
        <v>2000000</v>
      </c>
      <c r="H96" s="31">
        <f t="shared" si="23"/>
        <v>109000</v>
      </c>
      <c r="I96" s="31">
        <f t="shared" si="23"/>
        <v>0</v>
      </c>
      <c r="J96" s="40">
        <f t="shared" si="20"/>
        <v>260000</v>
      </c>
      <c r="K96" s="43">
        <f t="shared" si="23"/>
        <v>30000</v>
      </c>
      <c r="L96" s="31">
        <f t="shared" si="23"/>
        <v>230000</v>
      </c>
      <c r="M96" s="31">
        <f t="shared" si="23"/>
        <v>180000</v>
      </c>
      <c r="N96" s="31">
        <f t="shared" si="23"/>
        <v>33000</v>
      </c>
      <c r="O96" s="31">
        <f t="shared" si="23"/>
        <v>0</v>
      </c>
      <c r="P96" s="43">
        <f t="shared" si="23"/>
        <v>2861244</v>
      </c>
    </row>
    <row r="97" spans="1:16" ht="35.25" customHeight="1">
      <c r="A97" s="5" t="s">
        <v>225</v>
      </c>
      <c r="B97" s="6" t="s">
        <v>226</v>
      </c>
      <c r="C97" s="6" t="s">
        <v>68</v>
      </c>
      <c r="D97" s="17" t="s">
        <v>227</v>
      </c>
      <c r="E97" s="41">
        <f>2385000+15000+20244+183000-2000</f>
        <v>2601244</v>
      </c>
      <c r="F97" s="22">
        <f t="shared" si="18"/>
        <v>2601244</v>
      </c>
      <c r="G97" s="29">
        <f>1850000+150000</f>
        <v>2000000</v>
      </c>
      <c r="H97" s="29">
        <f>88000+15000+6000</f>
        <v>109000</v>
      </c>
      <c r="I97" s="29"/>
      <c r="J97" s="40">
        <f t="shared" si="20"/>
        <v>260000</v>
      </c>
      <c r="K97" s="41">
        <f>30000</f>
        <v>30000</v>
      </c>
      <c r="L97" s="29">
        <v>230000</v>
      </c>
      <c r="M97" s="29">
        <v>180000</v>
      </c>
      <c r="N97" s="29">
        <v>33000</v>
      </c>
      <c r="O97" s="29"/>
      <c r="P97" s="39">
        <f t="shared" si="19"/>
        <v>2861244</v>
      </c>
    </row>
    <row r="98" spans="1:16" ht="15.75">
      <c r="A98" s="2" t="s">
        <v>228</v>
      </c>
      <c r="B98" s="3" t="s">
        <v>229</v>
      </c>
      <c r="C98" s="4"/>
      <c r="D98" s="14" t="s">
        <v>230</v>
      </c>
      <c r="E98" s="43">
        <f>E99+E100+E101+E102+E103</f>
        <v>4451360</v>
      </c>
      <c r="F98" s="31">
        <f aca="true" t="shared" si="24" ref="F98:P98">F99+F100+F101+F102+F103</f>
        <v>4451360</v>
      </c>
      <c r="G98" s="31">
        <f t="shared" si="24"/>
        <v>2391000</v>
      </c>
      <c r="H98" s="31">
        <f t="shared" si="24"/>
        <v>434500</v>
      </c>
      <c r="I98" s="31">
        <f t="shared" si="24"/>
        <v>0</v>
      </c>
      <c r="J98" s="40">
        <f t="shared" si="20"/>
        <v>328000</v>
      </c>
      <c r="K98" s="43">
        <f t="shared" si="24"/>
        <v>5000</v>
      </c>
      <c r="L98" s="31">
        <f t="shared" si="24"/>
        <v>323000</v>
      </c>
      <c r="M98" s="31">
        <f t="shared" si="24"/>
        <v>140000</v>
      </c>
      <c r="N98" s="31">
        <f t="shared" si="24"/>
        <v>92500</v>
      </c>
      <c r="O98" s="31">
        <f t="shared" si="24"/>
        <v>0</v>
      </c>
      <c r="P98" s="43">
        <f t="shared" si="24"/>
        <v>4779360</v>
      </c>
    </row>
    <row r="99" spans="1:16" ht="31.5">
      <c r="A99" s="5" t="s">
        <v>231</v>
      </c>
      <c r="B99" s="6" t="s">
        <v>232</v>
      </c>
      <c r="C99" s="6" t="s">
        <v>233</v>
      </c>
      <c r="D99" s="17" t="s">
        <v>234</v>
      </c>
      <c r="E99" s="41">
        <f>75000+100000+200000+50000</f>
        <v>425000</v>
      </c>
      <c r="F99" s="22">
        <f t="shared" si="18"/>
        <v>425000</v>
      </c>
      <c r="G99" s="29"/>
      <c r="H99" s="29"/>
      <c r="I99" s="29"/>
      <c r="J99" s="40">
        <f t="shared" si="20"/>
        <v>0</v>
      </c>
      <c r="K99" s="41"/>
      <c r="L99" s="29"/>
      <c r="M99" s="29"/>
      <c r="N99" s="29"/>
      <c r="O99" s="29"/>
      <c r="P99" s="39">
        <f t="shared" si="19"/>
        <v>425000</v>
      </c>
    </row>
    <row r="100" spans="1:16" ht="15.75">
      <c r="A100" s="5" t="s">
        <v>235</v>
      </c>
      <c r="B100" s="6" t="s">
        <v>236</v>
      </c>
      <c r="C100" s="6" t="s">
        <v>237</v>
      </c>
      <c r="D100" s="17" t="s">
        <v>238</v>
      </c>
      <c r="E100" s="41">
        <f>1026600+5000-5000-183000+2000</f>
        <v>845600</v>
      </c>
      <c r="F100" s="22">
        <f t="shared" si="18"/>
        <v>845600</v>
      </c>
      <c r="G100" s="29">
        <f>780000-150000</f>
        <v>630000</v>
      </c>
      <c r="H100" s="29">
        <v>61000</v>
      </c>
      <c r="I100" s="29"/>
      <c r="J100" s="40">
        <f t="shared" si="20"/>
        <v>5000</v>
      </c>
      <c r="K100" s="41">
        <v>5000</v>
      </c>
      <c r="L100" s="29"/>
      <c r="M100" s="29"/>
      <c r="N100" s="29"/>
      <c r="O100" s="29"/>
      <c r="P100" s="39">
        <f t="shared" si="19"/>
        <v>850600</v>
      </c>
    </row>
    <row r="101" spans="1:16" ht="15.75">
      <c r="A101" s="5" t="s">
        <v>239</v>
      </c>
      <c r="B101" s="6" t="s">
        <v>240</v>
      </c>
      <c r="C101" s="6" t="s">
        <v>237</v>
      </c>
      <c r="D101" s="17" t="s">
        <v>241</v>
      </c>
      <c r="E101" s="41">
        <f>423400+81740-12000-56000</f>
        <v>437140</v>
      </c>
      <c r="F101" s="22">
        <f t="shared" si="18"/>
        <v>437140</v>
      </c>
      <c r="G101" s="29">
        <f>320000+67000-56000</f>
        <v>331000</v>
      </c>
      <c r="H101" s="29">
        <v>28500</v>
      </c>
      <c r="I101" s="29"/>
      <c r="J101" s="40">
        <f t="shared" si="20"/>
        <v>3000</v>
      </c>
      <c r="K101" s="41"/>
      <c r="L101" s="29">
        <v>3000</v>
      </c>
      <c r="M101" s="29"/>
      <c r="N101" s="29"/>
      <c r="O101" s="29"/>
      <c r="P101" s="39">
        <f t="shared" si="19"/>
        <v>440140</v>
      </c>
    </row>
    <row r="102" spans="1:16" ht="31.5">
      <c r="A102" s="5" t="s">
        <v>242</v>
      </c>
      <c r="B102" s="6" t="s">
        <v>243</v>
      </c>
      <c r="C102" s="6" t="s">
        <v>244</v>
      </c>
      <c r="D102" s="17" t="s">
        <v>245</v>
      </c>
      <c r="E102" s="41">
        <f>1879400+250000+30000-15000+34020+150000+150000</f>
        <v>2478420</v>
      </c>
      <c r="F102" s="22">
        <f t="shared" si="18"/>
        <v>2478420</v>
      </c>
      <c r="G102" s="29">
        <v>1220000</v>
      </c>
      <c r="H102" s="29">
        <f>360000-15000</f>
        <v>345000</v>
      </c>
      <c r="I102" s="29"/>
      <c r="J102" s="40">
        <f t="shared" si="20"/>
        <v>320000</v>
      </c>
      <c r="K102" s="41"/>
      <c r="L102" s="29">
        <v>320000</v>
      </c>
      <c r="M102" s="29">
        <v>140000</v>
      </c>
      <c r="N102" s="29">
        <v>92500</v>
      </c>
      <c r="O102" s="29"/>
      <c r="P102" s="39">
        <f t="shared" si="19"/>
        <v>2798420</v>
      </c>
    </row>
    <row r="103" spans="1:16" ht="15.75">
      <c r="A103" s="5" t="s">
        <v>246</v>
      </c>
      <c r="B103" s="6" t="s">
        <v>247</v>
      </c>
      <c r="C103" s="6" t="s">
        <v>248</v>
      </c>
      <c r="D103" s="17" t="s">
        <v>249</v>
      </c>
      <c r="E103" s="41">
        <f>E104</f>
        <v>265200</v>
      </c>
      <c r="F103" s="29">
        <f aca="true" t="shared" si="25" ref="F103:P103">F104</f>
        <v>265200</v>
      </c>
      <c r="G103" s="29">
        <f t="shared" si="25"/>
        <v>210000</v>
      </c>
      <c r="H103" s="29">
        <f t="shared" si="25"/>
        <v>0</v>
      </c>
      <c r="I103" s="29">
        <f t="shared" si="25"/>
        <v>0</v>
      </c>
      <c r="J103" s="40">
        <f t="shared" si="20"/>
        <v>0</v>
      </c>
      <c r="K103" s="41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41">
        <f t="shared" si="25"/>
        <v>265200</v>
      </c>
    </row>
    <row r="104" spans="1:16" ht="15.75">
      <c r="A104" s="5"/>
      <c r="B104" s="6"/>
      <c r="C104" s="6"/>
      <c r="D104" s="13" t="s">
        <v>250</v>
      </c>
      <c r="E104" s="41">
        <v>265200</v>
      </c>
      <c r="F104" s="22">
        <f t="shared" si="18"/>
        <v>265200</v>
      </c>
      <c r="G104" s="29">
        <v>210000</v>
      </c>
      <c r="H104" s="29"/>
      <c r="I104" s="29"/>
      <c r="J104" s="40">
        <f t="shared" si="20"/>
        <v>0</v>
      </c>
      <c r="K104" s="41"/>
      <c r="L104" s="29"/>
      <c r="M104" s="29"/>
      <c r="N104" s="29"/>
      <c r="O104" s="29"/>
      <c r="P104" s="39">
        <f t="shared" si="19"/>
        <v>265200</v>
      </c>
    </row>
    <row r="105" spans="1:16" ht="31.5">
      <c r="A105" s="9">
        <v>11</v>
      </c>
      <c r="B105" s="27"/>
      <c r="C105" s="27"/>
      <c r="D105" s="20" t="s">
        <v>251</v>
      </c>
      <c r="E105" s="43">
        <f>E106+E108+E110</f>
        <v>2142000</v>
      </c>
      <c r="F105" s="31">
        <f aca="true" t="shared" si="26" ref="F105:P105">F106+F108+F110</f>
        <v>2142000</v>
      </c>
      <c r="G105" s="31">
        <f t="shared" si="26"/>
        <v>1188000</v>
      </c>
      <c r="H105" s="31">
        <f t="shared" si="26"/>
        <v>195000</v>
      </c>
      <c r="I105" s="31">
        <f t="shared" si="26"/>
        <v>0</v>
      </c>
      <c r="J105" s="40">
        <f t="shared" si="20"/>
        <v>97000</v>
      </c>
      <c r="K105" s="43">
        <f t="shared" si="26"/>
        <v>97000</v>
      </c>
      <c r="L105" s="31">
        <f t="shared" si="26"/>
        <v>0</v>
      </c>
      <c r="M105" s="31">
        <f t="shared" si="26"/>
        <v>0</v>
      </c>
      <c r="N105" s="31">
        <f t="shared" si="26"/>
        <v>0</v>
      </c>
      <c r="O105" s="31">
        <f t="shared" si="26"/>
        <v>0</v>
      </c>
      <c r="P105" s="43">
        <f t="shared" si="26"/>
        <v>2239000</v>
      </c>
    </row>
    <row r="106" spans="1:21" s="28" customFormat="1" ht="15.75">
      <c r="A106" s="2" t="s">
        <v>252</v>
      </c>
      <c r="B106" s="3" t="s">
        <v>79</v>
      </c>
      <c r="C106" s="4"/>
      <c r="D106" s="14" t="s">
        <v>80</v>
      </c>
      <c r="E106" s="43">
        <f>E107</f>
        <v>413000</v>
      </c>
      <c r="F106" s="31">
        <f aca="true" t="shared" si="27" ref="F106:P106">F107</f>
        <v>413000</v>
      </c>
      <c r="G106" s="31">
        <f t="shared" si="27"/>
        <v>338000</v>
      </c>
      <c r="H106" s="31">
        <f t="shared" si="27"/>
        <v>0</v>
      </c>
      <c r="I106" s="31">
        <f t="shared" si="27"/>
        <v>0</v>
      </c>
      <c r="J106" s="40">
        <f t="shared" si="20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413000</v>
      </c>
      <c r="U106" s="24"/>
    </row>
    <row r="107" spans="1:21" ht="31.5">
      <c r="A107" s="5" t="s">
        <v>253</v>
      </c>
      <c r="B107" s="6" t="s">
        <v>82</v>
      </c>
      <c r="C107" s="6" t="s">
        <v>83</v>
      </c>
      <c r="D107" s="17" t="s">
        <v>84</v>
      </c>
      <c r="E107" s="41">
        <v>413000</v>
      </c>
      <c r="F107" s="22">
        <f t="shared" si="18"/>
        <v>413000</v>
      </c>
      <c r="G107" s="29">
        <v>338000</v>
      </c>
      <c r="H107" s="29"/>
      <c r="I107" s="29"/>
      <c r="J107" s="40">
        <f t="shared" si="20"/>
        <v>0</v>
      </c>
      <c r="K107" s="41"/>
      <c r="L107" s="29"/>
      <c r="M107" s="29"/>
      <c r="N107" s="29"/>
      <c r="O107" s="29"/>
      <c r="P107" s="39">
        <f t="shared" si="19"/>
        <v>413000</v>
      </c>
      <c r="U107" s="28"/>
    </row>
    <row r="108" spans="1:16" ht="15.75">
      <c r="A108" s="2" t="s">
        <v>254</v>
      </c>
      <c r="B108" s="3" t="s">
        <v>96</v>
      </c>
      <c r="C108" s="3"/>
      <c r="D108" s="21" t="s">
        <v>97</v>
      </c>
      <c r="E108" s="43">
        <f>E109</f>
        <v>60000</v>
      </c>
      <c r="F108" s="31">
        <f aca="true" t="shared" si="28" ref="F108:P108">F109</f>
        <v>60000</v>
      </c>
      <c r="G108" s="31">
        <f t="shared" si="28"/>
        <v>0</v>
      </c>
      <c r="H108" s="31">
        <f t="shared" si="28"/>
        <v>0</v>
      </c>
      <c r="I108" s="31">
        <f t="shared" si="28"/>
        <v>0</v>
      </c>
      <c r="J108" s="40">
        <f t="shared" si="20"/>
        <v>0</v>
      </c>
      <c r="K108" s="43">
        <f t="shared" si="28"/>
        <v>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0</v>
      </c>
      <c r="P108" s="43">
        <f t="shared" si="28"/>
        <v>60000</v>
      </c>
    </row>
    <row r="109" spans="1:16" ht="15.75">
      <c r="A109" s="5" t="s">
        <v>255</v>
      </c>
      <c r="B109" s="6" t="s">
        <v>256</v>
      </c>
      <c r="C109" s="6" t="s">
        <v>39</v>
      </c>
      <c r="D109" s="17" t="s">
        <v>257</v>
      </c>
      <c r="E109" s="41">
        <f>30000+30000</f>
        <v>60000</v>
      </c>
      <c r="F109" s="22">
        <f t="shared" si="18"/>
        <v>60000</v>
      </c>
      <c r="G109" s="29"/>
      <c r="H109" s="29"/>
      <c r="I109" s="29"/>
      <c r="J109" s="40">
        <f t="shared" si="20"/>
        <v>0</v>
      </c>
      <c r="K109" s="41"/>
      <c r="L109" s="29"/>
      <c r="M109" s="29"/>
      <c r="N109" s="29"/>
      <c r="O109" s="29"/>
      <c r="P109" s="39">
        <f t="shared" si="19"/>
        <v>60000</v>
      </c>
    </row>
    <row r="110" spans="1:16" ht="15.75">
      <c r="A110" s="2" t="s">
        <v>258</v>
      </c>
      <c r="B110" s="3" t="s">
        <v>138</v>
      </c>
      <c r="C110" s="3"/>
      <c r="D110" s="14" t="s">
        <v>139</v>
      </c>
      <c r="E110" s="43">
        <f>E111+E112+E113</f>
        <v>1669000</v>
      </c>
      <c r="F110" s="31">
        <f aca="true" t="shared" si="29" ref="F110:P110">F111+F112+F113</f>
        <v>1669000</v>
      </c>
      <c r="G110" s="31">
        <f t="shared" si="29"/>
        <v>850000</v>
      </c>
      <c r="H110" s="31">
        <f t="shared" si="29"/>
        <v>195000</v>
      </c>
      <c r="I110" s="31">
        <f t="shared" si="29"/>
        <v>0</v>
      </c>
      <c r="J110" s="40">
        <f t="shared" si="20"/>
        <v>97000</v>
      </c>
      <c r="K110" s="43">
        <f t="shared" si="29"/>
        <v>97000</v>
      </c>
      <c r="L110" s="31">
        <f t="shared" si="29"/>
        <v>0</v>
      </c>
      <c r="M110" s="31">
        <f t="shared" si="29"/>
        <v>0</v>
      </c>
      <c r="N110" s="31">
        <f t="shared" si="29"/>
        <v>0</v>
      </c>
      <c r="O110" s="31">
        <f t="shared" si="29"/>
        <v>0</v>
      </c>
      <c r="P110" s="43">
        <f t="shared" si="29"/>
        <v>1766000</v>
      </c>
    </row>
    <row r="111" spans="1:16" ht="31.5">
      <c r="A111" s="5" t="s">
        <v>259</v>
      </c>
      <c r="B111" s="6" t="s">
        <v>260</v>
      </c>
      <c r="C111" s="6" t="s">
        <v>70</v>
      </c>
      <c r="D111" s="15" t="s">
        <v>261</v>
      </c>
      <c r="E111" s="41">
        <f>60000+100000+30000+100000+40000</f>
        <v>330000</v>
      </c>
      <c r="F111" s="22">
        <f t="shared" si="18"/>
        <v>330000</v>
      </c>
      <c r="G111" s="29"/>
      <c r="H111" s="29"/>
      <c r="I111" s="29"/>
      <c r="J111" s="40">
        <f t="shared" si="20"/>
        <v>60000</v>
      </c>
      <c r="K111" s="41">
        <v>60000</v>
      </c>
      <c r="L111" s="29"/>
      <c r="M111" s="29"/>
      <c r="N111" s="29"/>
      <c r="O111" s="29"/>
      <c r="P111" s="39">
        <f t="shared" si="19"/>
        <v>390000</v>
      </c>
    </row>
    <row r="112" spans="1:16" ht="31.5">
      <c r="A112" s="5" t="s">
        <v>262</v>
      </c>
      <c r="B112" s="6" t="s">
        <v>263</v>
      </c>
      <c r="C112" s="6" t="s">
        <v>70</v>
      </c>
      <c r="D112" s="17" t="s">
        <v>264</v>
      </c>
      <c r="E112" s="41">
        <v>8000</v>
      </c>
      <c r="F112" s="22">
        <f t="shared" si="18"/>
        <v>8000</v>
      </c>
      <c r="G112" s="29"/>
      <c r="H112" s="29"/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8000</v>
      </c>
    </row>
    <row r="113" spans="1:16" ht="15.75">
      <c r="A113" s="5" t="s">
        <v>265</v>
      </c>
      <c r="B113" s="6" t="s">
        <v>266</v>
      </c>
      <c r="C113" s="6" t="s">
        <v>70</v>
      </c>
      <c r="D113" s="17" t="s">
        <v>267</v>
      </c>
      <c r="E113" s="41">
        <f>1270000+10000+8000+10000+33000</f>
        <v>1331000</v>
      </c>
      <c r="F113" s="22">
        <f t="shared" si="18"/>
        <v>1331000</v>
      </c>
      <c r="G113" s="29">
        <v>850000</v>
      </c>
      <c r="H113" s="29">
        <f>185000+10000</f>
        <v>195000</v>
      </c>
      <c r="I113" s="29"/>
      <c r="J113" s="40">
        <f t="shared" si="20"/>
        <v>37000</v>
      </c>
      <c r="K113" s="41">
        <v>37000</v>
      </c>
      <c r="L113" s="29"/>
      <c r="M113" s="29"/>
      <c r="N113" s="29"/>
      <c r="O113" s="29"/>
      <c r="P113" s="39">
        <f t="shared" si="19"/>
        <v>1368000</v>
      </c>
    </row>
    <row r="114" spans="1:16" ht="31.5">
      <c r="A114" s="9">
        <v>37</v>
      </c>
      <c r="B114" s="27"/>
      <c r="C114" s="27"/>
      <c r="D114" s="20" t="s">
        <v>268</v>
      </c>
      <c r="E114" s="43">
        <f>E115+E117+E119</f>
        <v>2493584.62</v>
      </c>
      <c r="F114" s="43">
        <f aca="true" t="shared" si="30" ref="F114:P114">F115+F117+F119</f>
        <v>2493584.62</v>
      </c>
      <c r="G114" s="43">
        <f t="shared" si="30"/>
        <v>1285000</v>
      </c>
      <c r="H114" s="43">
        <f t="shared" si="30"/>
        <v>61000</v>
      </c>
      <c r="I114" s="43">
        <f t="shared" si="30"/>
        <v>0</v>
      </c>
      <c r="J114" s="43">
        <f t="shared" si="30"/>
        <v>2644858</v>
      </c>
      <c r="K114" s="43">
        <f t="shared" si="30"/>
        <v>2644858</v>
      </c>
      <c r="L114" s="43">
        <f t="shared" si="30"/>
        <v>0</v>
      </c>
      <c r="M114" s="43">
        <f t="shared" si="30"/>
        <v>0</v>
      </c>
      <c r="N114" s="43">
        <f t="shared" si="30"/>
        <v>0</v>
      </c>
      <c r="O114" s="43">
        <f t="shared" si="30"/>
        <v>0</v>
      </c>
      <c r="P114" s="43">
        <f t="shared" si="30"/>
        <v>5138442.62</v>
      </c>
    </row>
    <row r="115" spans="1:16" ht="15.75">
      <c r="A115" s="2" t="s">
        <v>269</v>
      </c>
      <c r="B115" s="3" t="s">
        <v>79</v>
      </c>
      <c r="C115" s="4"/>
      <c r="D115" s="14" t="s">
        <v>80</v>
      </c>
      <c r="E115" s="43">
        <f>E116</f>
        <v>1813000</v>
      </c>
      <c r="F115" s="31">
        <f aca="true" t="shared" si="31" ref="F115:P115">F116</f>
        <v>1813000</v>
      </c>
      <c r="G115" s="31">
        <f t="shared" si="31"/>
        <v>1285000</v>
      </c>
      <c r="H115" s="31">
        <f t="shared" si="31"/>
        <v>61000</v>
      </c>
      <c r="I115" s="31">
        <f t="shared" si="31"/>
        <v>0</v>
      </c>
      <c r="J115" s="40">
        <f t="shared" si="20"/>
        <v>0</v>
      </c>
      <c r="K115" s="43">
        <f t="shared" si="31"/>
        <v>0</v>
      </c>
      <c r="L115" s="31">
        <f t="shared" si="31"/>
        <v>0</v>
      </c>
      <c r="M115" s="31">
        <f t="shared" si="31"/>
        <v>0</v>
      </c>
      <c r="N115" s="31">
        <f t="shared" si="31"/>
        <v>0</v>
      </c>
      <c r="O115" s="31">
        <f t="shared" si="31"/>
        <v>0</v>
      </c>
      <c r="P115" s="43">
        <f t="shared" si="31"/>
        <v>1813000</v>
      </c>
    </row>
    <row r="116" spans="1:16" ht="31.5">
      <c r="A116" s="5" t="s">
        <v>270</v>
      </c>
      <c r="B116" s="6" t="s">
        <v>82</v>
      </c>
      <c r="C116" s="6" t="s">
        <v>83</v>
      </c>
      <c r="D116" s="17" t="s">
        <v>84</v>
      </c>
      <c r="E116" s="41">
        <f>1785000+28000</f>
        <v>1813000</v>
      </c>
      <c r="F116" s="22">
        <f t="shared" si="18"/>
        <v>1813000</v>
      </c>
      <c r="G116" s="29">
        <v>1285000</v>
      </c>
      <c r="H116" s="29">
        <v>61000</v>
      </c>
      <c r="I116" s="29"/>
      <c r="J116" s="40">
        <f t="shared" si="20"/>
        <v>0</v>
      </c>
      <c r="K116" s="41"/>
      <c r="L116" s="29"/>
      <c r="M116" s="29"/>
      <c r="N116" s="29"/>
      <c r="O116" s="29"/>
      <c r="P116" s="39">
        <f t="shared" si="19"/>
        <v>1813000</v>
      </c>
    </row>
    <row r="117" spans="1:16" ht="15.75">
      <c r="A117" s="2" t="s">
        <v>271</v>
      </c>
      <c r="B117" s="3" t="s">
        <v>130</v>
      </c>
      <c r="C117" s="4"/>
      <c r="D117" s="14" t="s">
        <v>131</v>
      </c>
      <c r="E117" s="43">
        <f>E118</f>
        <v>173</v>
      </c>
      <c r="F117" s="31">
        <f aca="true" t="shared" si="32" ref="F117:P117">F118</f>
        <v>173</v>
      </c>
      <c r="G117" s="31">
        <f t="shared" si="32"/>
        <v>0</v>
      </c>
      <c r="H117" s="31">
        <f t="shared" si="32"/>
        <v>0</v>
      </c>
      <c r="I117" s="31">
        <f t="shared" si="32"/>
        <v>0</v>
      </c>
      <c r="J117" s="40">
        <f t="shared" si="20"/>
        <v>0</v>
      </c>
      <c r="K117" s="43">
        <f t="shared" si="32"/>
        <v>0</v>
      </c>
      <c r="L117" s="31">
        <f t="shared" si="32"/>
        <v>0</v>
      </c>
      <c r="M117" s="31">
        <f t="shared" si="32"/>
        <v>0</v>
      </c>
      <c r="N117" s="31">
        <f t="shared" si="32"/>
        <v>0</v>
      </c>
      <c r="O117" s="31">
        <f t="shared" si="32"/>
        <v>0</v>
      </c>
      <c r="P117" s="43">
        <f t="shared" si="32"/>
        <v>173</v>
      </c>
    </row>
    <row r="118" spans="1:16" ht="15.75">
      <c r="A118" s="5" t="s">
        <v>272</v>
      </c>
      <c r="B118" s="6" t="s">
        <v>273</v>
      </c>
      <c r="C118" s="6" t="s">
        <v>20</v>
      </c>
      <c r="D118" s="13" t="s">
        <v>274</v>
      </c>
      <c r="E118" s="41">
        <f>945000-369000-440827-135000</f>
        <v>173</v>
      </c>
      <c r="F118" s="22">
        <f t="shared" si="18"/>
        <v>173</v>
      </c>
      <c r="G118" s="29"/>
      <c r="H118" s="29"/>
      <c r="I118" s="29"/>
      <c r="J118" s="40">
        <f t="shared" si="20"/>
        <v>0</v>
      </c>
      <c r="K118" s="41"/>
      <c r="L118" s="29"/>
      <c r="M118" s="29"/>
      <c r="N118" s="29"/>
      <c r="O118" s="29"/>
      <c r="P118" s="39">
        <f t="shared" si="19"/>
        <v>173</v>
      </c>
    </row>
    <row r="119" spans="1:21" s="28" customFormat="1" ht="15.75">
      <c r="A119" s="2" t="s">
        <v>293</v>
      </c>
      <c r="B119" s="3" t="s">
        <v>287</v>
      </c>
      <c r="C119" s="3"/>
      <c r="D119" s="21" t="s">
        <v>290</v>
      </c>
      <c r="E119" s="43">
        <f>E120+E121</f>
        <v>680411.62</v>
      </c>
      <c r="F119" s="43">
        <f>F120+F121</f>
        <v>680411.62</v>
      </c>
      <c r="G119" s="43">
        <f aca="true" t="shared" si="33" ref="G119:P119">G120+G121</f>
        <v>0</v>
      </c>
      <c r="H119" s="43">
        <f t="shared" si="33"/>
        <v>0</v>
      </c>
      <c r="I119" s="43">
        <f t="shared" si="33"/>
        <v>0</v>
      </c>
      <c r="J119" s="43">
        <f t="shared" si="33"/>
        <v>2644858</v>
      </c>
      <c r="K119" s="43">
        <f t="shared" si="33"/>
        <v>2644858</v>
      </c>
      <c r="L119" s="43">
        <f t="shared" si="33"/>
        <v>0</v>
      </c>
      <c r="M119" s="43">
        <f t="shared" si="33"/>
        <v>0</v>
      </c>
      <c r="N119" s="43">
        <f t="shared" si="33"/>
        <v>0</v>
      </c>
      <c r="O119" s="43">
        <f t="shared" si="33"/>
        <v>0</v>
      </c>
      <c r="P119" s="43">
        <f t="shared" si="33"/>
        <v>3325269.62</v>
      </c>
      <c r="U119" s="24"/>
    </row>
    <row r="120" spans="1:21" ht="31.5">
      <c r="A120" s="5" t="s">
        <v>294</v>
      </c>
      <c r="B120" s="6" t="s">
        <v>288</v>
      </c>
      <c r="C120" s="6" t="s">
        <v>19</v>
      </c>
      <c r="D120" s="50" t="s">
        <v>291</v>
      </c>
      <c r="E120" s="41">
        <v>372511.76</v>
      </c>
      <c r="F120" s="22">
        <f t="shared" si="18"/>
        <v>372511.76</v>
      </c>
      <c r="G120" s="29"/>
      <c r="H120" s="29"/>
      <c r="I120" s="29"/>
      <c r="J120" s="40">
        <f t="shared" si="20"/>
        <v>0</v>
      </c>
      <c r="K120" s="41"/>
      <c r="L120" s="29"/>
      <c r="M120" s="29"/>
      <c r="N120" s="29"/>
      <c r="O120" s="29"/>
      <c r="P120" s="39">
        <f t="shared" si="19"/>
        <v>372511.76</v>
      </c>
      <c r="U120" s="28"/>
    </row>
    <row r="121" spans="1:16" ht="15.75">
      <c r="A121" s="5" t="s">
        <v>295</v>
      </c>
      <c r="B121" s="6" t="s">
        <v>289</v>
      </c>
      <c r="C121" s="6" t="s">
        <v>19</v>
      </c>
      <c r="D121" s="49" t="s">
        <v>292</v>
      </c>
      <c r="E121" s="41">
        <v>307899.86</v>
      </c>
      <c r="F121" s="22">
        <f t="shared" si="18"/>
        <v>307899.86</v>
      </c>
      <c r="G121" s="29"/>
      <c r="H121" s="29"/>
      <c r="I121" s="29"/>
      <c r="J121" s="40">
        <f t="shared" si="20"/>
        <v>2644858</v>
      </c>
      <c r="K121" s="41">
        <f>738891+7175844-2708279-2561598</f>
        <v>2644858</v>
      </c>
      <c r="L121" s="29"/>
      <c r="M121" s="29"/>
      <c r="N121" s="29"/>
      <c r="O121" s="29"/>
      <c r="P121" s="39">
        <f t="shared" si="19"/>
        <v>2952757.86</v>
      </c>
    </row>
    <row r="122" spans="1:21" s="28" customFormat="1" ht="18.75">
      <c r="A122" s="68" t="s">
        <v>276</v>
      </c>
      <c r="B122" s="69"/>
      <c r="C122" s="69"/>
      <c r="D122" s="69"/>
      <c r="E122" s="43">
        <f>E16+E47+E60+E93+E105+E114</f>
        <v>196977914</v>
      </c>
      <c r="F122" s="31">
        <f>F16+F47+F60+F93+F105+F114</f>
        <v>196977914</v>
      </c>
      <c r="G122" s="30">
        <f>G16+G47+G60+G93+G105+G114</f>
        <v>71476026.97</v>
      </c>
      <c r="H122" s="30">
        <f>H16+H47+H60+H93+H105+H114</f>
        <v>9481527.8</v>
      </c>
      <c r="I122" s="31">
        <f>I16+I47+I60+I93+I105+I114</f>
        <v>0</v>
      </c>
      <c r="J122" s="57">
        <f t="shared" si="20"/>
        <v>29915358</v>
      </c>
      <c r="K122" s="43">
        <f>K16+K47+K60+K93+K105+K114</f>
        <v>26628505</v>
      </c>
      <c r="L122" s="31">
        <f>L16+L47+L60+L93+L105+L114</f>
        <v>2940853</v>
      </c>
      <c r="M122" s="31">
        <f>M16+M47+M60+M93+M105+M114</f>
        <v>470000</v>
      </c>
      <c r="N122" s="31">
        <f>N16+N47+N60+N93+N105+N114</f>
        <v>161500</v>
      </c>
      <c r="O122" s="31">
        <f>O16+O47+O60+O93+O105+O114</f>
        <v>346000</v>
      </c>
      <c r="P122" s="44">
        <f t="shared" si="19"/>
        <v>226893272</v>
      </c>
      <c r="U122" s="24"/>
    </row>
    <row r="123" s="46" customFormat="1" ht="12.75">
      <c r="U123" s="28"/>
    </row>
    <row r="124" s="46" customFormat="1" ht="54" customHeight="1"/>
    <row r="125" s="46" customFormat="1" ht="12.75"/>
    <row r="126" spans="1:21" s="58" customFormat="1" ht="18.75">
      <c r="A126" s="60" t="s">
        <v>324</v>
      </c>
      <c r="B126" s="61"/>
      <c r="C126" s="61"/>
      <c r="E126" s="60" t="s">
        <v>325</v>
      </c>
      <c r="U126" s="46"/>
    </row>
    <row r="127" spans="5:21" ht="18.75">
      <c r="E127" s="38"/>
      <c r="J127" s="38"/>
      <c r="K127" s="38"/>
      <c r="P127" s="38"/>
      <c r="U127" s="58"/>
    </row>
    <row r="128" spans="5:16" ht="12.75">
      <c r="E128" s="38">
        <f>E122-E130</f>
        <v>-1080000</v>
      </c>
      <c r="F128" s="24">
        <f aca="true" t="shared" si="34" ref="F128:P128">F122-F130</f>
        <v>-1080000</v>
      </c>
      <c r="G128" s="24">
        <f t="shared" si="34"/>
        <v>0</v>
      </c>
      <c r="H128" s="24">
        <f t="shared" si="34"/>
        <v>0</v>
      </c>
      <c r="I128" s="24">
        <f t="shared" si="34"/>
        <v>0</v>
      </c>
      <c r="J128" s="38">
        <f t="shared" si="34"/>
        <v>1080000</v>
      </c>
      <c r="K128" s="38">
        <f t="shared" si="34"/>
        <v>1080000</v>
      </c>
      <c r="L128" s="24">
        <f t="shared" si="34"/>
        <v>0</v>
      </c>
      <c r="M128" s="24">
        <f t="shared" si="34"/>
        <v>0</v>
      </c>
      <c r="N128" s="24">
        <f t="shared" si="34"/>
        <v>0</v>
      </c>
      <c r="O128" s="24">
        <f t="shared" si="34"/>
        <v>0</v>
      </c>
      <c r="P128" s="47">
        <f t="shared" si="34"/>
        <v>0</v>
      </c>
    </row>
    <row r="129" spans="5:16" ht="12.75">
      <c r="E129" s="38"/>
      <c r="J129" s="38"/>
      <c r="K129" s="38"/>
      <c r="P129" s="38"/>
    </row>
    <row r="130" spans="5:16" ht="12.75">
      <c r="E130" s="38">
        <v>198057914</v>
      </c>
      <c r="F130" s="24">
        <v>198057914</v>
      </c>
      <c r="G130" s="24">
        <v>71476026.97</v>
      </c>
      <c r="H130" s="24">
        <v>9481527.8</v>
      </c>
      <c r="I130" s="24">
        <v>0</v>
      </c>
      <c r="J130" s="38">
        <v>28835358</v>
      </c>
      <c r="K130" s="38">
        <v>25548505</v>
      </c>
      <c r="L130" s="24">
        <v>2940853</v>
      </c>
      <c r="M130" s="24">
        <v>470000</v>
      </c>
      <c r="N130" s="24">
        <v>161500</v>
      </c>
      <c r="O130" s="24">
        <v>346000</v>
      </c>
      <c r="P130" s="38">
        <v>226893272</v>
      </c>
    </row>
    <row r="133" ht="12.75">
      <c r="E133" s="48"/>
    </row>
    <row r="134" spans="14:21" s="34" customFormat="1" ht="15.75">
      <c r="N134" s="62">
        <f>K122+O122</f>
        <v>26974505</v>
      </c>
      <c r="O134" s="62"/>
      <c r="P134" s="59" t="s">
        <v>320</v>
      </c>
      <c r="U134" s="24"/>
    </row>
    <row r="135" ht="15.75">
      <c r="U135" s="34"/>
    </row>
  </sheetData>
  <sheetProtection/>
  <mergeCells count="28">
    <mergeCell ref="A8:P8"/>
    <mergeCell ref="A7:P7"/>
    <mergeCell ref="G13:G14"/>
    <mergeCell ref="H13:H14"/>
    <mergeCell ref="G12:H12"/>
    <mergeCell ref="I12:I14"/>
    <mergeCell ref="J12:J14"/>
    <mergeCell ref="O12:O14"/>
    <mergeCell ref="M13:M14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N134:O134"/>
    <mergeCell ref="J11:O11"/>
    <mergeCell ref="P11:P14"/>
    <mergeCell ref="A11:A14"/>
    <mergeCell ref="B11:B14"/>
    <mergeCell ref="C11:C14"/>
    <mergeCell ref="D11:D14"/>
    <mergeCell ref="N13:N14"/>
    <mergeCell ref="A122:D122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2019-10-15T11:16:14Z</cp:lastPrinted>
  <dcterms:created xsi:type="dcterms:W3CDTF">2018-12-04T09:08:53Z</dcterms:created>
  <dcterms:modified xsi:type="dcterms:W3CDTF">2019-12-24T07:48:41Z</dcterms:modified>
  <cp:category/>
  <cp:version/>
  <cp:contentType/>
  <cp:contentStatus/>
</cp:coreProperties>
</file>