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180ACF81-7FAF-492F-9338-825C7391556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 7 (2)" sheetId="11" r:id="rId1"/>
  </sheets>
  <externalReferences>
    <externalReference r:id="rId2"/>
  </externalReferences>
  <definedNames>
    <definedName name="_xlnm.Print_Area" localSheetId="0">'додаток 7 (2)'!$A$1:$J$113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11" l="1"/>
  <c r="H37" i="11"/>
  <c r="I22" i="11"/>
  <c r="H103" i="11"/>
  <c r="J68" i="11"/>
  <c r="I31" i="11"/>
  <c r="H18" i="11"/>
  <c r="H69" i="11"/>
  <c r="H68" i="11"/>
  <c r="H14" i="11"/>
  <c r="H63" i="11" l="1"/>
  <c r="H107" i="11"/>
  <c r="H106" i="11"/>
  <c r="H105" i="11"/>
  <c r="H104" i="11"/>
  <c r="H102" i="11"/>
  <c r="H101" i="11"/>
  <c r="I92" i="11"/>
  <c r="J92" i="11" s="1"/>
  <c r="I97" i="11"/>
  <c r="I89" i="11"/>
  <c r="J31" i="11"/>
  <c r="H67" i="11"/>
  <c r="G67" i="11" s="1"/>
  <c r="H65" i="11"/>
  <c r="I116" i="11"/>
  <c r="H36" i="11"/>
  <c r="H29" i="11" s="1"/>
  <c r="J32" i="11"/>
  <c r="J33" i="11"/>
  <c r="J34" i="11"/>
  <c r="J35" i="11"/>
  <c r="G34" i="11"/>
  <c r="G35" i="11"/>
  <c r="J88" i="11"/>
  <c r="G88" i="11"/>
  <c r="I30" i="11"/>
  <c r="I36" i="11" s="1"/>
  <c r="I90" i="11"/>
  <c r="I94" i="11"/>
  <c r="J94" i="11" s="1"/>
  <c r="I98" i="11"/>
  <c r="J22" i="11"/>
  <c r="H51" i="11"/>
  <c r="G52" i="11"/>
  <c r="H55" i="11"/>
  <c r="H57" i="11"/>
  <c r="H22" i="11"/>
  <c r="H21" i="11"/>
  <c r="G65" i="11"/>
  <c r="H94" i="11"/>
  <c r="I93" i="11"/>
  <c r="J93" i="11" s="1"/>
  <c r="H93" i="11"/>
  <c r="H100" i="11" s="1"/>
  <c r="H28" i="11"/>
  <c r="L111" i="11"/>
  <c r="J97" i="11"/>
  <c r="H66" i="11"/>
  <c r="G66" i="11" s="1"/>
  <c r="I14" i="11"/>
  <c r="G37" i="11"/>
  <c r="I96" i="11"/>
  <c r="J96" i="11" s="1"/>
  <c r="I21" i="11"/>
  <c r="J21" i="11" s="1"/>
  <c r="J91" i="11"/>
  <c r="G91" i="11"/>
  <c r="G39" i="11"/>
  <c r="H46" i="11"/>
  <c r="H44" i="11" s="1"/>
  <c r="H50" i="11"/>
  <c r="H43" i="11"/>
  <c r="H26" i="11"/>
  <c r="H25" i="11"/>
  <c r="G25" i="11" s="1"/>
  <c r="I87" i="11"/>
  <c r="J87" i="11"/>
  <c r="H87" i="11"/>
  <c r="I109" i="11"/>
  <c r="J109" i="11"/>
  <c r="G102" i="11"/>
  <c r="H27" i="11"/>
  <c r="G93" i="11"/>
  <c r="I71" i="11"/>
  <c r="J71" i="11"/>
  <c r="G96" i="11"/>
  <c r="J14" i="11"/>
  <c r="H85" i="11"/>
  <c r="J95" i="11"/>
  <c r="G95" i="11"/>
  <c r="G92" i="11"/>
  <c r="G97" i="11" l="1"/>
  <c r="G31" i="11"/>
  <c r="I29" i="11"/>
  <c r="H71" i="11"/>
  <c r="H54" i="11"/>
  <c r="H38" i="11"/>
  <c r="H109" i="11"/>
  <c r="G21" i="11"/>
  <c r="G98" i="11"/>
  <c r="J99" i="11"/>
  <c r="I99" i="11"/>
  <c r="I100" i="11" s="1"/>
  <c r="H15" i="11"/>
  <c r="H11" i="11" s="1"/>
  <c r="G26" i="11"/>
  <c r="I51" i="11"/>
  <c r="J51" i="11"/>
  <c r="G48" i="11"/>
  <c r="I85" i="11"/>
  <c r="J85" i="11"/>
  <c r="G103" i="11"/>
  <c r="G104" i="11"/>
  <c r="G105" i="11"/>
  <c r="G106" i="11"/>
  <c r="G107" i="11"/>
  <c r="G108" i="11"/>
  <c r="G101" i="11"/>
  <c r="J30" i="11"/>
  <c r="G99" i="11"/>
  <c r="G86" i="11"/>
  <c r="G87" i="11" s="1"/>
  <c r="G49" i="11"/>
  <c r="I43" i="11"/>
  <c r="J43" i="11"/>
  <c r="G43" i="11"/>
  <c r="I15" i="11"/>
  <c r="I11" i="11" s="1"/>
  <c r="J15" i="11"/>
  <c r="J11" i="11" s="1"/>
  <c r="G23" i="11"/>
  <c r="G18" i="11"/>
  <c r="G17" i="11"/>
  <c r="G16" i="11"/>
  <c r="G77" i="11"/>
  <c r="G78" i="11"/>
  <c r="G80" i="11"/>
  <c r="G81" i="11"/>
  <c r="G82" i="11"/>
  <c r="J98" i="11"/>
  <c r="J89" i="11"/>
  <c r="G40" i="11"/>
  <c r="G12" i="11"/>
  <c r="G13" i="11"/>
  <c r="G14" i="11"/>
  <c r="G19" i="11"/>
  <c r="G20" i="11"/>
  <c r="G22" i="11"/>
  <c r="G27" i="11"/>
  <c r="G28" i="11"/>
  <c r="G33" i="11"/>
  <c r="G41" i="11"/>
  <c r="G42" i="11"/>
  <c r="G45" i="11"/>
  <c r="G46" i="11"/>
  <c r="G47" i="11"/>
  <c r="G50" i="11"/>
  <c r="G53" i="11"/>
  <c r="G55" i="11"/>
  <c r="G56" i="11"/>
  <c r="G57" i="11"/>
  <c r="G58" i="11"/>
  <c r="G59" i="11"/>
  <c r="G63" i="11"/>
  <c r="G64" i="11"/>
  <c r="G68" i="11"/>
  <c r="G70" i="11"/>
  <c r="G72" i="11"/>
  <c r="G73" i="11"/>
  <c r="G74" i="11"/>
  <c r="G75" i="11"/>
  <c r="G76" i="11"/>
  <c r="G79" i="11"/>
  <c r="G83" i="11"/>
  <c r="G84" i="11"/>
  <c r="G89" i="11"/>
  <c r="G94" i="11"/>
  <c r="I44" i="11"/>
  <c r="J44" i="11"/>
  <c r="J36" i="11" l="1"/>
  <c r="J29" i="11" s="1"/>
  <c r="H60" i="11"/>
  <c r="G109" i="11"/>
  <c r="I60" i="11"/>
  <c r="G69" i="11"/>
  <c r="G71" i="11"/>
  <c r="J90" i="11"/>
  <c r="J100" i="11" s="1"/>
  <c r="G30" i="11"/>
  <c r="I38" i="11"/>
  <c r="J38" i="11"/>
  <c r="G90" i="11"/>
  <c r="G44" i="11"/>
  <c r="G51" i="11"/>
  <c r="G85" i="11"/>
  <c r="I54" i="11"/>
  <c r="J54" i="11"/>
  <c r="I110" i="11" l="1"/>
  <c r="I117" i="11" s="1"/>
  <c r="J60" i="11"/>
  <c r="J110" i="11" s="1"/>
  <c r="J123" i="11" s="1"/>
  <c r="G100" i="11"/>
  <c r="G11" i="11"/>
  <c r="G15" i="11"/>
  <c r="G29" i="11"/>
  <c r="G36" i="11"/>
  <c r="G54" i="11"/>
  <c r="G38" i="11"/>
  <c r="L110" i="11" l="1"/>
  <c r="J117" i="11"/>
  <c r="K110" i="11"/>
  <c r="G60" i="11"/>
  <c r="H110" i="11"/>
  <c r="G110" i="11" s="1"/>
</calcChain>
</file>

<file path=xl/sharedStrings.xml><?xml version="1.0" encoding="utf-8"?>
<sst xmlns="http://schemas.openxmlformats.org/spreadsheetml/2006/main" count="382" uniqueCount="257">
  <si>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</si>
  <si>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</si>
  <si>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</si>
  <si>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</si>
  <si>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</si>
  <si>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</si>
  <si>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</si>
  <si>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</si>
  <si>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</si>
  <si>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</si>
  <si>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</si>
  <si>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</si>
  <si>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</si>
  <si>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</si>
  <si>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</si>
  <si>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</si>
  <si>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</si>
  <si>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</si>
  <si>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</si>
  <si>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</si>
  <si>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</si>
  <si>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</si>
  <si>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</si>
  <si>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</si>
  <si>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</si>
  <si>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</si>
  <si>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</si>
  <si>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</si>
  <si>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</si>
  <si>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</si>
  <si>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</si>
  <si>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</si>
  <si>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</si>
  <si>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</si>
  <si>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</si>
  <si>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</si>
  <si>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</si>
  <si>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</si>
  <si>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</si>
  <si>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</si>
  <si>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</si>
  <si>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</si>
  <si>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</si>
  <si>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</si>
  <si>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0611162</t>
  </si>
  <si>
    <t>1010</t>
  </si>
  <si>
    <t>1020</t>
  </si>
  <si>
    <t>1090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</si>
  <si>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</si>
  <si>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</si>
  <si>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</si>
  <si>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</si>
  <si>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</si>
  <si>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</si>
  <si>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</si>
  <si>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</si>
  <si>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</si>
  <si>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</si>
  <si>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</si>
  <si>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</si>
  <si>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</si>
  <si>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</si>
  <si>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</si>
  <si>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</si>
  <si>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</si>
  <si>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</si>
  <si>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</si>
  <si>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</si>
  <si>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</si>
  <si>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</si>
  <si>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</si>
  <si>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</si>
  <si>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</si>
  <si>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</si>
  <si>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</si>
  <si>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</si>
  <si>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</si>
  <si>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</si>
  <si>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</si>
  <si>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</si>
  <si>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</si>
  <si>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</si>
  <si>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</si>
  <si>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</si>
  <si>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</si>
  <si>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</si>
  <si>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</si>
  <si>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</si>
  <si>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</si>
  <si>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</si>
  <si>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</si>
  <si>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</si>
  <si>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</si>
  <si>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</si>
  <si>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</si>
  <si>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</si>
  <si>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</si>
  <si>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</si>
  <si>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</si>
  <si>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</si>
  <si>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</si>
  <si>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</si>
  <si>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</si>
  <si>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</si>
  <si>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</si>
  <si>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</si>
  <si>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</si>
  <si>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</si>
  <si>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</si>
  <si>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</si>
  <si>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</si>
  <si>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</si>
  <si>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</si>
  <si>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</si>
  <si>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</si>
  <si>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</si>
  <si>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</si>
  <si>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</si>
  <si>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</si>
  <si>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</si>
  <si>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</si>
  <si>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</si>
  <si>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</si>
  <si>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</si>
  <si>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</si>
  <si>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</si>
  <si>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</si>
  <si>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0470</t>
  </si>
  <si>
    <t>Заходи з енергозбереження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</si>
  <si>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</si>
  <si>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</si>
  <si>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</si>
  <si>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</si>
  <si>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</si>
  <si>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</si>
  <si>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</si>
  <si>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</si>
  <si>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</si>
  <si>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</si>
  <si>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</si>
  <si>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</si>
  <si>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</si>
  <si>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</si>
  <si>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</si>
  <si>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</si>
  <si>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</si>
  <si>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>Секретар ради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</si>
  <si>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</si>
  <si>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</si>
  <si>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</si>
  <si>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</si>
  <si>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</si>
  <si>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</si>
  <si>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</si>
  <si>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</si>
  <si>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</si>
  <si>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</si>
  <si>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</si>
  <si>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</si>
  <si>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</si>
  <si>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</si>
  <si>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</si>
  <si>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</si>
  <si>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</si>
  <si>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</si>
  <si>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</si>
  <si>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</si>
  <si>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</si>
  <si>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</si>
  <si>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</si>
  <si>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</si>
  <si>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</si>
  <si>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</si>
  <si>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</si>
  <si>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</si>
  <si>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</si>
  <si>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</si>
  <si>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</si>
  <si>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</si>
  <si>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</si>
  <si>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</si>
  <si>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</si>
  <si>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</si>
  <si>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</si>
  <si>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</si>
  <si>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</si>
  <si>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</si>
  <si>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910-80-VII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</si>
  <si>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</si>
  <si>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</si>
  <si>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</si>
  <si>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</si>
  <si>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</si>
  <si>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</si>
  <si>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</si>
  <si>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</si>
  <si>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</si>
  <si>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</si>
  <si>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Програма розвитку системи освіти міста Березань на 2018-2020 роки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</si>
  <si>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</si>
  <si>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</si>
  <si>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</si>
  <si>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</si>
  <si>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</si>
  <si>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</si>
  <si>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</si>
  <si>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</si>
  <si>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</si>
  <si>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</si>
  <si>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</si>
  <si>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</si>
  <si>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</si>
  <si>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</si>
  <si>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6013</t>
  </si>
  <si>
    <t xml:space="preserve">«Питна вода міста Березань на 2018-2020 роки» </t>
  </si>
  <si>
    <t>0216013</t>
  </si>
  <si>
    <t>Забезпечення діяльності водопровідно-каналізаційного господарства</t>
  </si>
  <si>
    <t>Програма фінансування пільг з послуг звязку та інших передбачених законодавством пільг окремим категоріям громадян на 2020-2022 роки</t>
  </si>
  <si>
    <t>№ 947-82-VII від 24.12.2019</t>
  </si>
  <si>
    <t>Програма фінансування пільгового проїзду автомобільним транспортом загального користування на 2020-2022 роки</t>
  </si>
  <si>
    <t>№ 948-82-VII від 24.12.2019</t>
  </si>
  <si>
    <t>№ 959-82-VII від 24.12.2019</t>
  </si>
  <si>
    <t>№ 946-82-VII від 24.12.2019</t>
  </si>
  <si>
    <t>Забезпечення діяльності водопровідно-каналізаційного господарства Березань</t>
  </si>
  <si>
    <t>Забезпечення діяльності водопровідно-каналізаційного господарства Лехнівка</t>
  </si>
  <si>
    <t>Реалізація Національної програми інформатизації 0160</t>
  </si>
  <si>
    <t>Реалізація Національної програми інформатизації 6020</t>
  </si>
  <si>
    <t>№ 981-84-VII від 04.02.2020</t>
  </si>
  <si>
    <t>№ 972-84-VII від 04.02.2020</t>
  </si>
  <si>
    <t>«Програма проведення заходів та робіт з територіальної оборони та мобілізаційної підготовки місцевого значення Березанського міського військового комісаріату на 2020 рік»</t>
  </si>
  <si>
    <t>«Програма проведення заходів та робіт з територіальної оборони та мобілізаційної підготовки місцевого значення 5-ої стрілецької роти другого батальйону військової частини 3066 Національної гвардії України на 2020 рік»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</si>
  <si>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</si>
  <si>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>№ 996-86-VII від 05.03.2020</t>
  </si>
  <si>
    <t>№ 997-86-VII від 05.03.2020</t>
  </si>
  <si>
    <t>№ 1002-86-VII від 05.03.2020</t>
  </si>
  <si>
    <t>"Шкільний автобус на 2020 рік"</t>
  </si>
  <si>
    <t>№ 1000-86-VII від 04.02.2020</t>
  </si>
  <si>
    <t>5031</t>
  </si>
  <si>
    <t>Утримання та навчально-тренувальна робота комунальних дитячо-юнацьких спортивних шкіл</t>
  </si>
  <si>
    <t>0615031</t>
  </si>
  <si>
    <t>Д6,1</t>
  </si>
  <si>
    <t>№ 1016-87-VII від 05.05.2020</t>
  </si>
  <si>
    <t>№ 1017-87-VII від 05.05.2019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</si>
  <si>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</si>
  <si>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</si>
  <si>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</si>
  <si>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Програма розвитку галузі культури і туризму в м.Березань на 2017-2020 роки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</si>
  <si>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</si>
  <si>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№ 294-30-VII від 03.03.2017</t>
  </si>
  <si>
    <t>Управління культури, національностей та релігій виконавчого комітету Березанської міської ради</t>
  </si>
  <si>
    <t xml:space="preserve">Програма з відзначення державних свят пам"ятних дат та заходів обласного і міського значення  на 2020 рік </t>
  </si>
  <si>
    <t>№ 1029-88-VII від 19.05.2020</t>
  </si>
  <si>
    <t>№ 1001-86-VII від 05.03.2019</t>
  </si>
  <si>
    <t>від 25.06.2020 № 1068-89-VII</t>
  </si>
  <si>
    <t>№ 1040-89-VII від 25.06.2020</t>
  </si>
  <si>
    <t>№ 1039-89 -VII від 25.06.2020</t>
  </si>
  <si>
    <t>№ 1067-89-VII від 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</si>
</sst>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#,##0.0"/>
    <numFmt numFmtId="167" formatCode="_-* #,##0\ _₴_-;\-* #,##0\ _₴_-;_-* &quot;-&quot;??\ _₴_-;_-@_-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17">
    <xf numFmtId="0" fontId="0" fillId="0" borderId="0" xfId="0"/>
    <xf numFmtId="0" fontId="19" fillId="0" borderId="0" xfId="0" applyFont="1" applyFill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0" fillId="0" borderId="10" xfId="14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6" fillId="0" borderId="10" xfId="1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0" fontId="19" fillId="0" borderId="0" xfId="0" applyFont="1" applyFill="1" applyBorder="1" applyAlignment="1">
      <alignment horizontal="center" vertical="center"/>
    </xf>
    <xf numFmtId="0" fontId="20" fillId="0" borderId="10" xfId="0" quotePrefix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/>
    <xf numFmtId="166" fontId="19" fillId="0" borderId="0" xfId="0" applyNumberFormat="1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  <xf numFmtId="0" fontId="20" fillId="0" borderId="10" xfId="0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166" fontId="19" fillId="0" borderId="0" xfId="0" applyNumberFormat="1" applyFont="1" applyFill="1" applyBorder="1"/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0" xfId="0" applyFont="1" applyFill="1"/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19" fillId="0" borderId="0" xfId="0" applyFont="1" applyFill="1" applyBorder="1"/>
    <xf numFmtId="166" fontId="23" fillId="0" borderId="0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 wrapText="1"/>
    </xf>
    <xf numFmtId="166" fontId="24" fillId="15" borderId="10" xfId="0" applyNumberFormat="1" applyFont="1" applyFill="1" applyBorder="1" applyAlignment="1">
      <alignment horizontal="center" vertical="center" wrapText="1"/>
    </xf>
    <xf numFmtId="0" fontId="19" fillId="15" borderId="0" xfId="0" applyFont="1" applyFill="1"/>
    <xf numFmtId="0" fontId="24" fillId="15" borderId="10" xfId="0" quotePrefix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21" fillId="15" borderId="0" xfId="0" applyFont="1" applyFill="1"/>
    <xf numFmtId="0" fontId="23" fillId="0" borderId="10" xfId="0" applyFont="1" applyBorder="1" applyAlignment="1">
      <alignment wrapText="1"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166" fontId="23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horizontal="center" vertical="top" wrapText="1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166" fontId="20" fillId="0" borderId="12" xfId="14" applyNumberFormat="1" applyFont="1" applyFill="1" applyBorder="1" applyAlignment="1">
      <alignment horizontal="left" wrapText="1"/>
    </xf>
    <xf numFmtId="166" fontId="20" fillId="0" borderId="14" xfId="14" applyNumberFormat="1" applyFont="1" applyFill="1" applyBorder="1" applyAlignment="1">
      <alignment horizontal="left" wrapText="1"/>
    </xf>
    <xf numFmtId="166" fontId="20" fillId="0" borderId="17" xfId="14" applyNumberFormat="1" applyFont="1" applyFill="1" applyBorder="1" applyAlignment="1">
      <alignment horizontal="left" vertical="center" wrapText="1"/>
    </xf>
    <xf numFmtId="166" fontId="20" fillId="0" borderId="18" xfId="14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1" fillId="0" borderId="15" xfId="0" applyFont="1" applyFill="1" applyBorder="1"/>
    <xf numFmtId="0" fontId="21" fillId="0" borderId="16" xfId="0" applyFont="1" applyFill="1" applyBorder="1"/>
    <xf numFmtId="0" fontId="24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/>
    </xf>
    <xf numFmtId="165" fontId="23" fillId="0" borderId="0" xfId="24" applyFont="1" applyFill="1" applyBorder="1" applyAlignment="1"/>
    <xf numFmtId="0" fontId="19" fillId="0" borderId="0" xfId="0" applyFont="1" applyFill="1" applyBorder="1" applyAlignment="1"/>
    <xf numFmtId="0" fontId="19" fillId="0" borderId="10" xfId="0" applyFont="1" applyFill="1" applyBorder="1" applyAlignment="1">
      <alignment vertical="center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19" fillId="15" borderId="10" xfId="0" applyFont="1" applyFill="1" applyBorder="1" applyAlignment="1"/>
    <xf numFmtId="0" fontId="20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/>
    </xf>
    <xf numFmtId="165" fontId="23" fillId="0" borderId="0" xfId="2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9" fillId="0" borderId="12" xfId="0" applyFont="1" applyFill="1" applyBorder="1" applyAlignment="1">
      <alignment horizontal="left" vertical="top"/>
    </xf>
    <xf numFmtId="0" fontId="0" fillId="0" borderId="13" xfId="0" applyBorder="1" applyAlignment="1"/>
    <xf numFmtId="0" fontId="0" fillId="0" borderId="14" xfId="0" applyBorder="1" applyAlignment="1"/>
    <xf numFmtId="164" fontId="19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24" fillId="15" borderId="1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vertical="center"/>
    </xf>
    <xf numFmtId="0" fontId="21" fillId="15" borderId="1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 xr:uid="{00000000-0005-0000-0000-00000D000000}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4;&#1086;&#1076;&#1072;&#1090;&#1086;&#1082;%206%20&#1074;&#111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6"/>
      <sheetName val="д 6.1"/>
    </sheetNames>
    <sheetDataSet>
      <sheetData sheetId="0">
        <row r="59">
          <cell r="J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L126"/>
  <sheetViews>
    <sheetView tabSelected="1" view="pageBreakPreview" topLeftCell="A3" zoomScaleSheetLayoutView="100" workbookViewId="0">
      <selection activeCell="F110" sqref="F110"/>
    </sheetView>
  </sheetViews>
  <sheetFormatPr defaultRowHeight="15" x14ac:dyDescent="0.25"/>
  <cols>
    <col min="1" max="1" width="11.5703125" style="21" customWidth="1"/>
    <col min="2" max="2" width="10.42578125" style="21" customWidth="1"/>
    <col min="3" max="3" width="9.42578125" style="21" customWidth="1"/>
    <col min="4" max="4" width="55.42578125" style="49" customWidth="1"/>
    <col min="5" max="5" width="52.7109375" style="10" customWidth="1"/>
    <col min="6" max="6" width="25.85546875" style="10" customWidth="1"/>
    <col min="7" max="7" width="16.7109375" style="1" customWidth="1"/>
    <col min="8" max="8" width="16.140625" style="1" customWidth="1"/>
    <col min="9" max="10" width="13.7109375" style="1" customWidth="1"/>
    <col min="11" max="11" width="13.140625" style="10" customWidth="1"/>
    <col min="12" max="12" width="14.140625" style="10" customWidth="1"/>
    <col min="13" max="16384" width="9.140625" style="10"/>
  </cols>
  <sheetData>
    <row r="1" spans="1:11" x14ac:dyDescent="0.25">
      <c r="G1" s="204" t="s">
        <v>8</v>
      </c>
      <c r="H1" s="205"/>
      <c r="I1" s="205"/>
      <c r="J1" s="205"/>
    </row>
    <row r="2" spans="1:11" ht="17.25" customHeight="1" x14ac:dyDescent="0.25">
      <c r="A2" s="211">
        <v>10514000000</v>
      </c>
      <c r="B2" s="212"/>
      <c r="G2" s="206" t="s">
        <v>90</v>
      </c>
      <c r="H2" s="207"/>
      <c r="I2" s="207"/>
      <c r="J2" s="207"/>
      <c r="K2" s="51"/>
    </row>
    <row r="3" spans="1:11" ht="32.25" customHeight="1" x14ac:dyDescent="0.25">
      <c r="A3" s="213" t="s">
        <v>209</v>
      </c>
      <c r="B3" s="214"/>
      <c r="G3" s="208" t="s">
        <v>210</v>
      </c>
      <c r="H3" s="209"/>
      <c r="I3" s="209"/>
      <c r="J3" s="209"/>
      <c r="K3" s="52"/>
    </row>
    <row r="4" spans="1:11" ht="18.75" customHeight="1" x14ac:dyDescent="0.25">
      <c r="G4" s="210" t="s">
        <v>253</v>
      </c>
      <c r="H4" s="210"/>
      <c r="I4" s="210"/>
      <c r="J4" s="210"/>
      <c r="K4" s="51"/>
    </row>
    <row r="5" spans="1:11" x14ac:dyDescent="0.25">
      <c r="H5" s="53"/>
    </row>
    <row r="6" spans="1:11" ht="20.25" x14ac:dyDescent="0.3">
      <c r="C6" s="54" t="s">
        <v>150</v>
      </c>
    </row>
    <row r="7" spans="1:11" x14ac:dyDescent="0.25">
      <c r="A7" s="22"/>
      <c r="J7" s="1" t="s">
        <v>0</v>
      </c>
    </row>
    <row r="8" spans="1:11" ht="62.25" customHeight="1" x14ac:dyDescent="0.2">
      <c r="A8" s="215" t="s">
        <v>199</v>
      </c>
      <c r="B8" s="215" t="s">
        <v>200</v>
      </c>
      <c r="C8" s="215" t="s">
        <v>147</v>
      </c>
      <c r="D8" s="123" t="s">
        <v>201</v>
      </c>
      <c r="E8" s="203" t="s">
        <v>206</v>
      </c>
      <c r="F8" s="203" t="s">
        <v>207</v>
      </c>
      <c r="G8" s="203" t="s">
        <v>1</v>
      </c>
      <c r="H8" s="203" t="s">
        <v>2</v>
      </c>
      <c r="I8" s="203" t="s">
        <v>3</v>
      </c>
      <c r="J8" s="203"/>
    </row>
    <row r="9" spans="1:11" ht="66" customHeight="1" x14ac:dyDescent="0.2">
      <c r="A9" s="216"/>
      <c r="B9" s="216"/>
      <c r="C9" s="216"/>
      <c r="D9" s="124"/>
      <c r="E9" s="203"/>
      <c r="F9" s="203"/>
      <c r="G9" s="203"/>
      <c r="H9" s="203"/>
      <c r="I9" s="45" t="s">
        <v>4</v>
      </c>
      <c r="J9" s="45" t="s">
        <v>5</v>
      </c>
    </row>
    <row r="10" spans="1:11" ht="15.75" x14ac:dyDescent="0.2">
      <c r="A10" s="23">
        <v>1</v>
      </c>
      <c r="B10" s="23">
        <v>2</v>
      </c>
      <c r="C10" s="23">
        <v>3</v>
      </c>
      <c r="D10" s="55">
        <v>4</v>
      </c>
      <c r="E10" s="56">
        <v>5</v>
      </c>
      <c r="F10" s="56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1" s="94" customFormat="1" ht="15.75" customHeight="1" x14ac:dyDescent="0.2">
      <c r="A11" s="112" t="s">
        <v>9</v>
      </c>
      <c r="B11" s="112"/>
      <c r="C11" s="112"/>
      <c r="D11" s="137" t="s">
        <v>10</v>
      </c>
      <c r="E11" s="137"/>
      <c r="F11" s="138"/>
      <c r="G11" s="93">
        <f t="shared" ref="G11:G70" si="0">H11+I11</f>
        <v>5332013</v>
      </c>
      <c r="H11" s="93">
        <f>H15+H16+H17+H18+H19+H20+H21+H22+H23+H24+H26+H25+H27+H28</f>
        <v>3987068</v>
      </c>
      <c r="I11" s="93">
        <f>I15+I16+I17+I18+I19+I20+I21+I22+I24+I26+I27+I28</f>
        <v>1344945</v>
      </c>
      <c r="J11" s="93">
        <f>J15+J16+J17+J18+J19+J20+J21+J22+J24+J26+J27+J28</f>
        <v>1344945</v>
      </c>
    </row>
    <row r="12" spans="1:11" ht="60" x14ac:dyDescent="0.2">
      <c r="A12" s="125" t="s">
        <v>16</v>
      </c>
      <c r="B12" s="128" t="s">
        <v>17</v>
      </c>
      <c r="C12" s="128" t="s">
        <v>18</v>
      </c>
      <c r="D12" s="133" t="s">
        <v>15</v>
      </c>
      <c r="E12" s="3" t="s">
        <v>148</v>
      </c>
      <c r="F12" s="38" t="s">
        <v>19</v>
      </c>
      <c r="G12" s="2">
        <f t="shared" si="0"/>
        <v>200000</v>
      </c>
      <c r="H12" s="4">
        <v>200000</v>
      </c>
      <c r="I12" s="4"/>
      <c r="J12" s="4"/>
    </row>
    <row r="13" spans="1:11" ht="60" x14ac:dyDescent="0.25">
      <c r="A13" s="126"/>
      <c r="B13" s="128"/>
      <c r="C13" s="132"/>
      <c r="D13" s="133"/>
      <c r="E13" s="29" t="s">
        <v>229</v>
      </c>
      <c r="F13" s="38" t="s">
        <v>228</v>
      </c>
      <c r="G13" s="2">
        <f t="shared" si="0"/>
        <v>100000</v>
      </c>
      <c r="H13" s="4">
        <v>100000</v>
      </c>
      <c r="I13" s="4"/>
      <c r="J13" s="4"/>
    </row>
    <row r="14" spans="1:11" ht="64.5" customHeight="1" x14ac:dyDescent="0.25">
      <c r="A14" s="127"/>
      <c r="B14" s="128"/>
      <c r="C14" s="132"/>
      <c r="D14" s="133"/>
      <c r="E14" s="57" t="s">
        <v>230</v>
      </c>
      <c r="F14" s="38" t="s">
        <v>228</v>
      </c>
      <c r="G14" s="2">
        <f t="shared" si="0"/>
        <v>878100</v>
      </c>
      <c r="H14" s="4">
        <f>2700000-347552-400000-1205000-90900</f>
        <v>656548</v>
      </c>
      <c r="I14" s="4">
        <f>197552+24000</f>
        <v>221552</v>
      </c>
      <c r="J14" s="4">
        <f>I14</f>
        <v>221552</v>
      </c>
    </row>
    <row r="15" spans="1:11" s="58" customFormat="1" ht="15.75" x14ac:dyDescent="0.2">
      <c r="A15" s="134" t="s">
        <v>88</v>
      </c>
      <c r="B15" s="135"/>
      <c r="C15" s="135"/>
      <c r="D15" s="136"/>
      <c r="E15" s="5"/>
      <c r="F15" s="35"/>
      <c r="G15" s="2">
        <f t="shared" si="0"/>
        <v>1178100</v>
      </c>
      <c r="H15" s="2">
        <f>H12+H13+H14</f>
        <v>956548</v>
      </c>
      <c r="I15" s="2">
        <f t="shared" ref="I15:J15" si="1">I12+I13+I14</f>
        <v>221552</v>
      </c>
      <c r="J15" s="2">
        <f t="shared" si="1"/>
        <v>221552</v>
      </c>
    </row>
    <row r="16" spans="1:11" s="58" customFormat="1" ht="24.75" customHeight="1" x14ac:dyDescent="0.2">
      <c r="A16" s="28" t="s">
        <v>118</v>
      </c>
      <c r="B16" s="40" t="s">
        <v>119</v>
      </c>
      <c r="C16" s="40" t="s">
        <v>120</v>
      </c>
      <c r="D16" s="26" t="s">
        <v>121</v>
      </c>
      <c r="E16" s="147" t="s">
        <v>197</v>
      </c>
      <c r="F16" s="142" t="s">
        <v>187</v>
      </c>
      <c r="G16" s="4">
        <f t="shared" si="0"/>
        <v>100000</v>
      </c>
      <c r="H16" s="4">
        <v>100000</v>
      </c>
      <c r="I16" s="4"/>
      <c r="J16" s="4"/>
    </row>
    <row r="17" spans="1:12" s="58" customFormat="1" ht="33.75" customHeight="1" x14ac:dyDescent="0.2">
      <c r="A17" s="6" t="s">
        <v>122</v>
      </c>
      <c r="B17" s="40" t="s">
        <v>123</v>
      </c>
      <c r="C17" s="40" t="s">
        <v>124</v>
      </c>
      <c r="D17" s="37" t="s">
        <v>125</v>
      </c>
      <c r="E17" s="148"/>
      <c r="F17" s="149"/>
      <c r="G17" s="4">
        <f t="shared" si="0"/>
        <v>50000</v>
      </c>
      <c r="H17" s="4">
        <v>50000</v>
      </c>
      <c r="I17" s="4"/>
      <c r="J17" s="4"/>
    </row>
    <row r="18" spans="1:12" s="58" customFormat="1" ht="30.75" customHeight="1" x14ac:dyDescent="0.25">
      <c r="A18" s="7" t="s">
        <v>153</v>
      </c>
      <c r="B18" s="7" t="s">
        <v>154</v>
      </c>
      <c r="C18" s="7" t="s">
        <v>155</v>
      </c>
      <c r="D18" s="29" t="s">
        <v>156</v>
      </c>
      <c r="E18" s="29" t="s">
        <v>212</v>
      </c>
      <c r="F18" s="100" t="s">
        <v>241</v>
      </c>
      <c r="G18" s="4">
        <f t="shared" si="0"/>
        <v>561200</v>
      </c>
      <c r="H18" s="4">
        <f>93300+129500+30000+290100+18300</f>
        <v>561200</v>
      </c>
      <c r="I18" s="4"/>
      <c r="J18" s="4"/>
    </row>
    <row r="19" spans="1:12" ht="30" customHeight="1" x14ac:dyDescent="0.2">
      <c r="A19" s="23" t="s">
        <v>27</v>
      </c>
      <c r="B19" s="23" t="s">
        <v>28</v>
      </c>
      <c r="C19" s="23" t="s">
        <v>29</v>
      </c>
      <c r="D19" s="26" t="s">
        <v>22</v>
      </c>
      <c r="E19" s="145" t="s">
        <v>11</v>
      </c>
      <c r="F19" s="146" t="s">
        <v>252</v>
      </c>
      <c r="G19" s="2">
        <f t="shared" si="0"/>
        <v>140000</v>
      </c>
      <c r="H19" s="4">
        <v>140000</v>
      </c>
      <c r="I19" s="4"/>
      <c r="J19" s="4"/>
    </row>
    <row r="20" spans="1:12" ht="60" customHeight="1" x14ac:dyDescent="0.25">
      <c r="A20" s="23" t="s">
        <v>30</v>
      </c>
      <c r="B20" s="23" t="s">
        <v>31</v>
      </c>
      <c r="C20" s="23" t="s">
        <v>29</v>
      </c>
      <c r="D20" s="59" t="s">
        <v>23</v>
      </c>
      <c r="E20" s="145"/>
      <c r="F20" s="146"/>
      <c r="G20" s="2">
        <f t="shared" si="0"/>
        <v>400000</v>
      </c>
      <c r="H20" s="4">
        <v>400000</v>
      </c>
      <c r="I20" s="4"/>
      <c r="J20" s="4"/>
    </row>
    <row r="21" spans="1:12" s="61" customFormat="1" ht="36.75" customHeight="1" x14ac:dyDescent="0.2">
      <c r="A21" s="7" t="s">
        <v>215</v>
      </c>
      <c r="B21" s="40" t="s">
        <v>213</v>
      </c>
      <c r="C21" s="40" t="s">
        <v>34</v>
      </c>
      <c r="D21" s="60" t="s">
        <v>216</v>
      </c>
      <c r="E21" s="37" t="s">
        <v>214</v>
      </c>
      <c r="F21" s="89" t="s">
        <v>236</v>
      </c>
      <c r="G21" s="2">
        <f t="shared" si="0"/>
        <v>1284013</v>
      </c>
      <c r="H21" s="4">
        <f>100000+160420</f>
        <v>260420</v>
      </c>
      <c r="I21" s="4">
        <f>190948+661465+171180</f>
        <v>1023593</v>
      </c>
      <c r="J21" s="4">
        <f>I21</f>
        <v>1023593</v>
      </c>
    </row>
    <row r="22" spans="1:12" ht="45" customHeight="1" x14ac:dyDescent="0.25">
      <c r="A22" s="23" t="s">
        <v>32</v>
      </c>
      <c r="B22" s="23" t="s">
        <v>33</v>
      </c>
      <c r="C22" s="23" t="s">
        <v>34</v>
      </c>
      <c r="D22" s="59" t="s">
        <v>24</v>
      </c>
      <c r="E22" s="37" t="s">
        <v>12</v>
      </c>
      <c r="F22" s="38" t="s">
        <v>20</v>
      </c>
      <c r="G22" s="2">
        <f t="shared" si="0"/>
        <v>981800</v>
      </c>
      <c r="H22" s="4">
        <f>882000</f>
        <v>882000</v>
      </c>
      <c r="I22" s="4">
        <f>49800+50000</f>
        <v>99800</v>
      </c>
      <c r="J22" s="4">
        <f>I22</f>
        <v>99800</v>
      </c>
    </row>
    <row r="23" spans="1:12" ht="57.75" customHeight="1" x14ac:dyDescent="0.2">
      <c r="A23" s="128" t="s">
        <v>159</v>
      </c>
      <c r="B23" s="128" t="s">
        <v>36</v>
      </c>
      <c r="C23" s="128" t="s">
        <v>34</v>
      </c>
      <c r="D23" s="133" t="s">
        <v>25</v>
      </c>
      <c r="E23" s="37" t="s">
        <v>160</v>
      </c>
      <c r="F23" s="38" t="s">
        <v>161</v>
      </c>
      <c r="G23" s="2">
        <f t="shared" si="0"/>
        <v>60000</v>
      </c>
      <c r="H23" s="4">
        <v>60000</v>
      </c>
      <c r="I23" s="4"/>
      <c r="J23" s="4"/>
    </row>
    <row r="24" spans="1:12" ht="18" hidden="1" customHeight="1" x14ac:dyDescent="0.2">
      <c r="A24" s="141"/>
      <c r="B24" s="141"/>
      <c r="C24" s="141"/>
      <c r="D24" s="140"/>
      <c r="E24" s="37" t="s">
        <v>13</v>
      </c>
      <c r="F24" s="38"/>
      <c r="G24" s="2"/>
      <c r="H24" s="4"/>
      <c r="I24" s="4"/>
      <c r="J24" s="4"/>
    </row>
    <row r="25" spans="1:12" ht="20.25" customHeight="1" x14ac:dyDescent="0.2">
      <c r="A25" s="16" t="s">
        <v>145</v>
      </c>
      <c r="B25" s="7" t="s">
        <v>126</v>
      </c>
      <c r="C25" s="7" t="s">
        <v>127</v>
      </c>
      <c r="D25" s="15" t="s">
        <v>128</v>
      </c>
      <c r="E25" s="168" t="s">
        <v>190</v>
      </c>
      <c r="F25" s="170" t="s">
        <v>221</v>
      </c>
      <c r="G25" s="2">
        <f>H25+I25</f>
        <v>16770</v>
      </c>
      <c r="H25" s="4">
        <f>20000-3230</f>
        <v>16770</v>
      </c>
      <c r="I25" s="4"/>
      <c r="J25" s="4"/>
    </row>
    <row r="26" spans="1:12" ht="31.5" customHeight="1" x14ac:dyDescent="0.25">
      <c r="A26" s="8" t="s">
        <v>191</v>
      </c>
      <c r="B26" s="7" t="s">
        <v>192</v>
      </c>
      <c r="C26" s="7" t="s">
        <v>193</v>
      </c>
      <c r="D26" s="30" t="s">
        <v>194</v>
      </c>
      <c r="E26" s="169"/>
      <c r="F26" s="171"/>
      <c r="G26" s="2">
        <f t="shared" si="0"/>
        <v>33230</v>
      </c>
      <c r="H26" s="4">
        <f>30000+3230</f>
        <v>33230</v>
      </c>
      <c r="I26" s="4"/>
      <c r="J26" s="4"/>
    </row>
    <row r="27" spans="1:12" ht="64.5" customHeight="1" x14ac:dyDescent="0.2">
      <c r="A27" s="23" t="s">
        <v>37</v>
      </c>
      <c r="B27" s="23" t="s">
        <v>38</v>
      </c>
      <c r="C27" s="23" t="s">
        <v>39</v>
      </c>
      <c r="D27" s="37" t="s">
        <v>26</v>
      </c>
      <c r="E27" s="37" t="s">
        <v>14</v>
      </c>
      <c r="F27" s="38" t="s">
        <v>21</v>
      </c>
      <c r="G27" s="2">
        <f t="shared" si="0"/>
        <v>376900</v>
      </c>
      <c r="H27" s="4">
        <f>276900+100000</f>
        <v>376900</v>
      </c>
      <c r="I27" s="4"/>
      <c r="J27" s="4"/>
    </row>
    <row r="28" spans="1:12" ht="90" customHeight="1" x14ac:dyDescent="0.2">
      <c r="A28" s="8" t="s">
        <v>134</v>
      </c>
      <c r="B28" s="7" t="s">
        <v>133</v>
      </c>
      <c r="C28" s="7" t="s">
        <v>135</v>
      </c>
      <c r="D28" s="62" t="s">
        <v>136</v>
      </c>
      <c r="E28" s="9" t="s">
        <v>195</v>
      </c>
      <c r="F28" s="100" t="s">
        <v>242</v>
      </c>
      <c r="G28" s="2">
        <f t="shared" si="0"/>
        <v>150000</v>
      </c>
      <c r="H28" s="4">
        <f>50000+30000+70000</f>
        <v>150000</v>
      </c>
      <c r="I28" s="4"/>
      <c r="J28" s="4"/>
    </row>
    <row r="29" spans="1:12" s="94" customFormat="1" ht="15.75" x14ac:dyDescent="0.2">
      <c r="A29" s="112" t="s">
        <v>41</v>
      </c>
      <c r="B29" s="112"/>
      <c r="C29" s="112"/>
      <c r="D29" s="113" t="s">
        <v>40</v>
      </c>
      <c r="E29" s="113"/>
      <c r="F29" s="114"/>
      <c r="G29" s="93">
        <f t="shared" si="0"/>
        <v>1761385</v>
      </c>
      <c r="H29" s="93">
        <f>H36+H37</f>
        <v>24800</v>
      </c>
      <c r="I29" s="93">
        <f t="shared" ref="I29:J29" si="2">I36+I37</f>
        <v>1736585</v>
      </c>
      <c r="J29" s="93">
        <f t="shared" si="2"/>
        <v>1736585</v>
      </c>
    </row>
    <row r="30" spans="1:12" ht="18.75" customHeight="1" x14ac:dyDescent="0.25">
      <c r="A30" s="40" t="s">
        <v>42</v>
      </c>
      <c r="B30" s="40" t="s">
        <v>45</v>
      </c>
      <c r="C30" s="40" t="s">
        <v>49</v>
      </c>
      <c r="D30" s="29" t="s">
        <v>54</v>
      </c>
      <c r="E30" s="168" t="s">
        <v>198</v>
      </c>
      <c r="F30" s="170" t="s">
        <v>251</v>
      </c>
      <c r="G30" s="2">
        <f t="shared" si="0"/>
        <v>9302</v>
      </c>
      <c r="H30" s="85"/>
      <c r="I30" s="86">
        <f>6500+3102-300</f>
        <v>9302</v>
      </c>
      <c r="J30" s="109">
        <f>I30</f>
        <v>9302</v>
      </c>
      <c r="L30" s="63"/>
    </row>
    <row r="31" spans="1:12" ht="45.75" customHeight="1" x14ac:dyDescent="0.25">
      <c r="A31" s="6" t="s">
        <v>43</v>
      </c>
      <c r="B31" s="48" t="s">
        <v>46</v>
      </c>
      <c r="C31" s="48" t="s">
        <v>50</v>
      </c>
      <c r="D31" s="70" t="s">
        <v>202</v>
      </c>
      <c r="E31" s="176"/>
      <c r="F31" s="196"/>
      <c r="G31" s="2">
        <f t="shared" si="0"/>
        <v>1744083</v>
      </c>
      <c r="H31" s="85">
        <v>16800</v>
      </c>
      <c r="I31" s="86">
        <f>76715+4842-14715+826441+150000+479000+205000</f>
        <v>1727283</v>
      </c>
      <c r="J31" s="109">
        <f>I31</f>
        <v>1727283</v>
      </c>
      <c r="L31" s="63"/>
    </row>
    <row r="32" spans="1:12" ht="18" hidden="1" customHeight="1" x14ac:dyDescent="0.25">
      <c r="A32" s="40"/>
      <c r="B32" s="40"/>
      <c r="C32" s="40"/>
      <c r="D32" s="29"/>
      <c r="E32" s="176"/>
      <c r="F32" s="196"/>
      <c r="G32" s="2"/>
      <c r="H32" s="85"/>
      <c r="I32" s="85"/>
      <c r="J32" s="4">
        <f t="shared" ref="J32:J35" si="3">I32</f>
        <v>0</v>
      </c>
    </row>
    <row r="33" spans="1:10" ht="20.25" customHeight="1" x14ac:dyDescent="0.25">
      <c r="A33" s="40" t="s">
        <v>44</v>
      </c>
      <c r="B33" s="40" t="s">
        <v>48</v>
      </c>
      <c r="C33" s="40" t="s">
        <v>52</v>
      </c>
      <c r="D33" s="64" t="s">
        <v>55</v>
      </c>
      <c r="E33" s="176"/>
      <c r="F33" s="196"/>
      <c r="G33" s="2">
        <f t="shared" si="0"/>
        <v>8000</v>
      </c>
      <c r="H33" s="4">
        <v>8000</v>
      </c>
      <c r="I33" s="4"/>
      <c r="J33" s="4">
        <f t="shared" si="3"/>
        <v>0</v>
      </c>
    </row>
    <row r="34" spans="1:10" ht="18.75" hidden="1" customHeight="1" x14ac:dyDescent="0.25">
      <c r="A34" s="8"/>
      <c r="B34" s="7"/>
      <c r="C34" s="7"/>
      <c r="D34" s="65"/>
      <c r="E34" s="176"/>
      <c r="F34" s="196"/>
      <c r="G34" s="2">
        <f t="shared" si="0"/>
        <v>0</v>
      </c>
      <c r="H34" s="4"/>
      <c r="I34" s="4"/>
      <c r="J34" s="4">
        <f t="shared" si="3"/>
        <v>0</v>
      </c>
    </row>
    <row r="35" spans="1:10" ht="34.5" hidden="1" customHeight="1" x14ac:dyDescent="0.25">
      <c r="A35" s="8" t="s">
        <v>239</v>
      </c>
      <c r="B35" s="7" t="s">
        <v>237</v>
      </c>
      <c r="C35" s="7" t="s">
        <v>53</v>
      </c>
      <c r="D35" s="98" t="s">
        <v>238</v>
      </c>
      <c r="E35" s="176"/>
      <c r="F35" s="196"/>
      <c r="G35" s="2">
        <f t="shared" si="0"/>
        <v>0</v>
      </c>
      <c r="H35" s="4"/>
      <c r="I35" s="4"/>
      <c r="J35" s="109">
        <f t="shared" si="3"/>
        <v>0</v>
      </c>
    </row>
    <row r="36" spans="1:10" ht="18.75" customHeight="1" x14ac:dyDescent="0.2">
      <c r="A36" s="134" t="s">
        <v>88</v>
      </c>
      <c r="B36" s="162"/>
      <c r="C36" s="162"/>
      <c r="D36" s="172"/>
      <c r="E36" s="177"/>
      <c r="F36" s="197"/>
      <c r="G36" s="2">
        <f t="shared" si="0"/>
        <v>1761385</v>
      </c>
      <c r="H36" s="2">
        <f>H30+H31+H32+H33+H34+H35</f>
        <v>24800</v>
      </c>
      <c r="I36" s="2">
        <f t="shared" ref="I36:J36" si="4">I30+I31+I32+I33+I34+I35</f>
        <v>1736585</v>
      </c>
      <c r="J36" s="2">
        <f t="shared" si="4"/>
        <v>1736585</v>
      </c>
    </row>
    <row r="37" spans="1:10" ht="47.25" hidden="1" customHeight="1" x14ac:dyDescent="0.25">
      <c r="A37" s="6" t="s">
        <v>43</v>
      </c>
      <c r="B37" s="91" t="s">
        <v>46</v>
      </c>
      <c r="C37" s="91" t="s">
        <v>50</v>
      </c>
      <c r="D37" s="70" t="s">
        <v>202</v>
      </c>
      <c r="E37" s="90" t="s">
        <v>235</v>
      </c>
      <c r="F37" s="89" t="s">
        <v>234</v>
      </c>
      <c r="G37" s="2">
        <f t="shared" si="0"/>
        <v>0</v>
      </c>
      <c r="H37" s="4">
        <f>85000-85000</f>
        <v>0</v>
      </c>
      <c r="I37" s="2"/>
      <c r="J37" s="2"/>
    </row>
    <row r="38" spans="1:10" s="94" customFormat="1" ht="30" customHeight="1" x14ac:dyDescent="0.2">
      <c r="A38" s="190" t="s">
        <v>56</v>
      </c>
      <c r="B38" s="190"/>
      <c r="C38" s="190"/>
      <c r="D38" s="137" t="s">
        <v>57</v>
      </c>
      <c r="E38" s="191"/>
      <c r="F38" s="155"/>
      <c r="G38" s="93">
        <f t="shared" si="0"/>
        <v>2035400</v>
      </c>
      <c r="H38" s="93">
        <f>H39+H43+H44+H49+H50</f>
        <v>2035400</v>
      </c>
      <c r="I38" s="93">
        <f>I39+I43+I44+I50</f>
        <v>0</v>
      </c>
      <c r="J38" s="93">
        <f>J39+J43+J44+J50</f>
        <v>0</v>
      </c>
    </row>
    <row r="39" spans="1:10" s="49" customFormat="1" ht="47.25" customHeight="1" x14ac:dyDescent="0.25">
      <c r="A39" s="11" t="s">
        <v>91</v>
      </c>
      <c r="B39" s="48" t="s">
        <v>92</v>
      </c>
      <c r="C39" s="48" t="s">
        <v>93</v>
      </c>
      <c r="D39" s="59" t="s">
        <v>94</v>
      </c>
      <c r="E39" s="47" t="s">
        <v>219</v>
      </c>
      <c r="F39" s="46" t="s">
        <v>220</v>
      </c>
      <c r="G39" s="2">
        <f t="shared" si="0"/>
        <v>550000</v>
      </c>
      <c r="H39" s="12">
        <v>550000</v>
      </c>
      <c r="I39" s="13"/>
      <c r="J39" s="13"/>
    </row>
    <row r="40" spans="1:10" s="49" customFormat="1" ht="32.25" customHeight="1" x14ac:dyDescent="0.25">
      <c r="A40" s="11" t="s">
        <v>157</v>
      </c>
      <c r="B40" s="40" t="s">
        <v>152</v>
      </c>
      <c r="C40" s="40" t="s">
        <v>93</v>
      </c>
      <c r="D40" s="30" t="s">
        <v>162</v>
      </c>
      <c r="E40" s="156" t="s">
        <v>217</v>
      </c>
      <c r="F40" s="142" t="s">
        <v>218</v>
      </c>
      <c r="G40" s="2">
        <f t="shared" si="0"/>
        <v>20000</v>
      </c>
      <c r="H40" s="12">
        <v>20000</v>
      </c>
      <c r="I40" s="13"/>
      <c r="J40" s="13"/>
    </row>
    <row r="41" spans="1:10" s="49" customFormat="1" ht="32.25" customHeight="1" x14ac:dyDescent="0.25">
      <c r="A41" s="6" t="s">
        <v>95</v>
      </c>
      <c r="B41" s="40" t="s">
        <v>96</v>
      </c>
      <c r="C41" s="40" t="s">
        <v>93</v>
      </c>
      <c r="D41" s="29" t="s">
        <v>97</v>
      </c>
      <c r="E41" s="194"/>
      <c r="F41" s="143"/>
      <c r="G41" s="2">
        <f t="shared" si="0"/>
        <v>200000</v>
      </c>
      <c r="H41" s="12">
        <v>200000</v>
      </c>
      <c r="I41" s="13"/>
      <c r="J41" s="13"/>
    </row>
    <row r="42" spans="1:10" s="49" customFormat="1" ht="32.25" customHeight="1" x14ac:dyDescent="0.25">
      <c r="A42" s="6" t="s">
        <v>98</v>
      </c>
      <c r="B42" s="40" t="s">
        <v>99</v>
      </c>
      <c r="C42" s="40" t="s">
        <v>93</v>
      </c>
      <c r="D42" s="29" t="s">
        <v>100</v>
      </c>
      <c r="E42" s="194"/>
      <c r="F42" s="143"/>
      <c r="G42" s="2">
        <f t="shared" si="0"/>
        <v>250000</v>
      </c>
      <c r="H42" s="12">
        <v>250000</v>
      </c>
      <c r="I42" s="13"/>
      <c r="J42" s="13"/>
    </row>
    <row r="43" spans="1:10" s="66" customFormat="1" ht="19.5" customHeight="1" x14ac:dyDescent="0.2">
      <c r="A43" s="134" t="s">
        <v>88</v>
      </c>
      <c r="B43" s="192"/>
      <c r="C43" s="192"/>
      <c r="D43" s="193"/>
      <c r="E43" s="195"/>
      <c r="F43" s="144"/>
      <c r="G43" s="2">
        <f t="shared" si="0"/>
        <v>470000</v>
      </c>
      <c r="H43" s="13">
        <f>H40+H41+H42</f>
        <v>470000</v>
      </c>
      <c r="I43" s="13">
        <f t="shared" ref="I43:J43" si="5">I40+I41+I42</f>
        <v>0</v>
      </c>
      <c r="J43" s="13">
        <f t="shared" si="5"/>
        <v>0</v>
      </c>
    </row>
    <row r="44" spans="1:10" ht="18.75" customHeight="1" x14ac:dyDescent="0.2">
      <c r="A44" s="120" t="s">
        <v>58</v>
      </c>
      <c r="B44" s="120" t="s">
        <v>60</v>
      </c>
      <c r="C44" s="120" t="s">
        <v>47</v>
      </c>
      <c r="D44" s="139" t="s">
        <v>63</v>
      </c>
      <c r="E44" s="198"/>
      <c r="F44" s="41"/>
      <c r="G44" s="2">
        <f t="shared" si="0"/>
        <v>720400</v>
      </c>
      <c r="H44" s="2">
        <f>H45+H46+H47+H48</f>
        <v>720400</v>
      </c>
      <c r="I44" s="2">
        <f>I45+I46+I47</f>
        <v>0</v>
      </c>
      <c r="J44" s="2">
        <f>J45+J46+J47</f>
        <v>0</v>
      </c>
    </row>
    <row r="45" spans="1:10" ht="30" x14ac:dyDescent="0.2">
      <c r="A45" s="121"/>
      <c r="B45" s="121"/>
      <c r="C45" s="121"/>
      <c r="D45" s="31" t="s">
        <v>64</v>
      </c>
      <c r="E45" s="14" t="s">
        <v>65</v>
      </c>
      <c r="F45" s="38" t="s">
        <v>70</v>
      </c>
      <c r="G45" s="2">
        <f t="shared" si="0"/>
        <v>200000</v>
      </c>
      <c r="H45" s="4">
        <v>200000</v>
      </c>
      <c r="I45" s="4"/>
      <c r="J45" s="4"/>
    </row>
    <row r="46" spans="1:10" ht="48.75" customHeight="1" x14ac:dyDescent="0.2">
      <c r="A46" s="121"/>
      <c r="B46" s="121"/>
      <c r="C46" s="121"/>
      <c r="D46" s="32" t="s">
        <v>66</v>
      </c>
      <c r="E46" s="3" t="s">
        <v>231</v>
      </c>
      <c r="F46" s="89" t="s">
        <v>233</v>
      </c>
      <c r="G46" s="2">
        <f t="shared" si="0"/>
        <v>128000</v>
      </c>
      <c r="H46" s="4">
        <f>80000+48000</f>
        <v>128000</v>
      </c>
      <c r="I46" s="4"/>
      <c r="J46" s="4"/>
    </row>
    <row r="47" spans="1:10" ht="22.5" customHeight="1" x14ac:dyDescent="0.2">
      <c r="A47" s="121"/>
      <c r="B47" s="121"/>
      <c r="C47" s="121"/>
      <c r="D47" s="32" t="s">
        <v>67</v>
      </c>
      <c r="E47" s="117" t="s">
        <v>68</v>
      </c>
      <c r="F47" s="159" t="s">
        <v>232</v>
      </c>
      <c r="G47" s="2">
        <f t="shared" si="0"/>
        <v>331200</v>
      </c>
      <c r="H47" s="4">
        <v>331200</v>
      </c>
      <c r="I47" s="4"/>
      <c r="J47" s="4"/>
    </row>
    <row r="48" spans="1:10" ht="22.5" customHeight="1" x14ac:dyDescent="0.2">
      <c r="A48" s="122"/>
      <c r="B48" s="122"/>
      <c r="C48" s="122"/>
      <c r="D48" s="32" t="s">
        <v>189</v>
      </c>
      <c r="E48" s="118"/>
      <c r="F48" s="121"/>
      <c r="G48" s="2">
        <f t="shared" si="0"/>
        <v>61200</v>
      </c>
      <c r="H48" s="4">
        <v>61200</v>
      </c>
      <c r="I48" s="4"/>
      <c r="J48" s="4"/>
    </row>
    <row r="49" spans="1:11" ht="80.25" customHeight="1" x14ac:dyDescent="0.25">
      <c r="A49" s="8" t="s">
        <v>184</v>
      </c>
      <c r="B49" s="7" t="s">
        <v>185</v>
      </c>
      <c r="C49" s="7" t="s">
        <v>45</v>
      </c>
      <c r="D49" s="30" t="s">
        <v>186</v>
      </c>
      <c r="E49" s="118"/>
      <c r="F49" s="121"/>
      <c r="G49" s="2">
        <f t="shared" si="0"/>
        <v>220000</v>
      </c>
      <c r="H49" s="4">
        <v>220000</v>
      </c>
      <c r="I49" s="4"/>
      <c r="J49" s="4"/>
    </row>
    <row r="50" spans="1:11" ht="46.5" customHeight="1" x14ac:dyDescent="0.25">
      <c r="A50" s="40" t="s">
        <v>59</v>
      </c>
      <c r="B50" s="40" t="s">
        <v>61</v>
      </c>
      <c r="C50" s="40" t="s">
        <v>62</v>
      </c>
      <c r="D50" s="29" t="s">
        <v>69</v>
      </c>
      <c r="E50" s="119"/>
      <c r="F50" s="199"/>
      <c r="G50" s="2">
        <f t="shared" si="0"/>
        <v>75000</v>
      </c>
      <c r="H50" s="4">
        <f>65000+10000</f>
        <v>75000</v>
      </c>
      <c r="I50" s="4"/>
      <c r="J50" s="4"/>
    </row>
    <row r="51" spans="1:11" s="97" customFormat="1" ht="26.25" customHeight="1" x14ac:dyDescent="0.2">
      <c r="A51" s="95">
        <v>10</v>
      </c>
      <c r="B51" s="96"/>
      <c r="C51" s="96"/>
      <c r="D51" s="200" t="s">
        <v>249</v>
      </c>
      <c r="E51" s="201"/>
      <c r="F51" s="202"/>
      <c r="G51" s="93">
        <f t="shared" si="0"/>
        <v>255400</v>
      </c>
      <c r="H51" s="93">
        <f>H52+H53</f>
        <v>255400</v>
      </c>
      <c r="I51" s="93">
        <f t="shared" ref="I51:J51" si="6">I53</f>
        <v>0</v>
      </c>
      <c r="J51" s="93">
        <f t="shared" si="6"/>
        <v>0</v>
      </c>
    </row>
    <row r="52" spans="1:11" s="66" customFormat="1" ht="44.25" customHeight="1" x14ac:dyDescent="0.25">
      <c r="A52" s="6" t="s">
        <v>140</v>
      </c>
      <c r="B52" s="104" t="s">
        <v>139</v>
      </c>
      <c r="C52" s="104" t="s">
        <v>51</v>
      </c>
      <c r="D52" s="102" t="s">
        <v>247</v>
      </c>
      <c r="E52" s="103" t="s">
        <v>246</v>
      </c>
      <c r="F52" s="105" t="s">
        <v>248</v>
      </c>
      <c r="G52" s="2">
        <f t="shared" si="0"/>
        <v>5400</v>
      </c>
      <c r="H52" s="12">
        <v>5400</v>
      </c>
      <c r="I52" s="13"/>
      <c r="J52" s="13"/>
    </row>
    <row r="53" spans="1:11" s="49" customFormat="1" ht="37.5" customHeight="1" x14ac:dyDescent="0.25">
      <c r="A53" s="6" t="s">
        <v>129</v>
      </c>
      <c r="B53" s="40" t="s">
        <v>130</v>
      </c>
      <c r="C53" s="40" t="s">
        <v>131</v>
      </c>
      <c r="D53" s="36" t="s">
        <v>132</v>
      </c>
      <c r="E53" s="106" t="s">
        <v>250</v>
      </c>
      <c r="F53" s="39" t="s">
        <v>222</v>
      </c>
      <c r="G53" s="2">
        <f t="shared" si="0"/>
        <v>250000</v>
      </c>
      <c r="H53" s="12">
        <v>250000</v>
      </c>
      <c r="I53" s="12"/>
      <c r="J53" s="12"/>
    </row>
    <row r="54" spans="1:11" s="94" customFormat="1" ht="23.25" customHeight="1" x14ac:dyDescent="0.2">
      <c r="A54" s="112" t="s">
        <v>71</v>
      </c>
      <c r="B54" s="112"/>
      <c r="C54" s="112"/>
      <c r="D54" s="137" t="s">
        <v>72</v>
      </c>
      <c r="E54" s="137"/>
      <c r="F54" s="138"/>
      <c r="G54" s="93">
        <f t="shared" si="0"/>
        <v>381000</v>
      </c>
      <c r="H54" s="93">
        <f>H55+H56+H57+H58+H59</f>
        <v>381000</v>
      </c>
      <c r="I54" s="93">
        <f>I55+I56+I57+I58+I59</f>
        <v>0</v>
      </c>
      <c r="J54" s="93">
        <f>J55+J56+J57+J58+J59</f>
        <v>0</v>
      </c>
    </row>
    <row r="55" spans="1:11" ht="47.25" customHeight="1" x14ac:dyDescent="0.2">
      <c r="A55" s="7" t="s">
        <v>73</v>
      </c>
      <c r="B55" s="11" t="s">
        <v>76</v>
      </c>
      <c r="C55" s="11" t="s">
        <v>29</v>
      </c>
      <c r="D55" s="67" t="s">
        <v>79</v>
      </c>
      <c r="E55" s="3" t="s">
        <v>82</v>
      </c>
      <c r="F55" s="38" t="s">
        <v>85</v>
      </c>
      <c r="G55" s="2">
        <f t="shared" si="0"/>
        <v>78000</v>
      </c>
      <c r="H55" s="4">
        <f>68000+10000</f>
        <v>78000</v>
      </c>
      <c r="I55" s="4"/>
      <c r="J55" s="4"/>
    </row>
    <row r="56" spans="1:11" ht="30" x14ac:dyDescent="0.2">
      <c r="A56" s="166" t="s">
        <v>74</v>
      </c>
      <c r="B56" s="166" t="s">
        <v>77</v>
      </c>
      <c r="C56" s="166" t="s">
        <v>53</v>
      </c>
      <c r="D56" s="139" t="s">
        <v>80</v>
      </c>
      <c r="E56" s="3" t="s">
        <v>83</v>
      </c>
      <c r="F56" s="39" t="s">
        <v>89</v>
      </c>
      <c r="G56" s="2">
        <f t="shared" si="0"/>
        <v>2000</v>
      </c>
      <c r="H56" s="4">
        <v>2000</v>
      </c>
      <c r="I56" s="4"/>
      <c r="J56" s="4"/>
    </row>
    <row r="57" spans="1:11" ht="29.25" customHeight="1" x14ac:dyDescent="0.2">
      <c r="A57" s="167"/>
      <c r="B57" s="167"/>
      <c r="C57" s="167"/>
      <c r="D57" s="139"/>
      <c r="E57" s="15" t="s">
        <v>137</v>
      </c>
      <c r="F57" s="38" t="s">
        <v>86</v>
      </c>
      <c r="G57" s="2">
        <f t="shared" si="0"/>
        <v>250000</v>
      </c>
      <c r="H57" s="4">
        <f>100000+150000</f>
        <v>250000</v>
      </c>
      <c r="I57" s="4"/>
      <c r="J57" s="4"/>
    </row>
    <row r="58" spans="1:11" ht="18.75" customHeight="1" x14ac:dyDescent="0.2">
      <c r="A58" s="167"/>
      <c r="B58" s="167"/>
      <c r="C58" s="167"/>
      <c r="D58" s="139"/>
      <c r="E58" s="115" t="s">
        <v>84</v>
      </c>
      <c r="F58" s="152" t="s">
        <v>149</v>
      </c>
      <c r="G58" s="2">
        <f t="shared" si="0"/>
        <v>48000</v>
      </c>
      <c r="H58" s="4">
        <v>48000</v>
      </c>
      <c r="I58" s="4"/>
      <c r="J58" s="4"/>
    </row>
    <row r="59" spans="1:11" ht="29.25" customHeight="1" x14ac:dyDescent="0.25">
      <c r="A59" s="40" t="s">
        <v>75</v>
      </c>
      <c r="B59" s="40" t="s">
        <v>78</v>
      </c>
      <c r="C59" s="40" t="s">
        <v>53</v>
      </c>
      <c r="D59" s="29" t="s">
        <v>81</v>
      </c>
      <c r="E59" s="116"/>
      <c r="F59" s="152"/>
      <c r="G59" s="2">
        <f t="shared" si="0"/>
        <v>3000</v>
      </c>
      <c r="H59" s="4">
        <v>3000</v>
      </c>
      <c r="I59" s="4"/>
      <c r="J59" s="4"/>
    </row>
    <row r="60" spans="1:11" s="94" customFormat="1" ht="19.5" customHeight="1" x14ac:dyDescent="0.2">
      <c r="A60" s="153" t="s">
        <v>87</v>
      </c>
      <c r="B60" s="154"/>
      <c r="C60" s="154"/>
      <c r="D60" s="154"/>
      <c r="E60" s="154"/>
      <c r="F60" s="155"/>
      <c r="G60" s="93">
        <f t="shared" si="0"/>
        <v>37079728</v>
      </c>
      <c r="H60" s="93">
        <f>H71+H85+H87+H100+H109</f>
        <v>18902048</v>
      </c>
      <c r="I60" s="93">
        <f>I71+I85+I87+I100+I109</f>
        <v>18177680</v>
      </c>
      <c r="J60" s="93">
        <f>J71+J85+J87+J100+J109</f>
        <v>17918410</v>
      </c>
    </row>
    <row r="61" spans="1:11" ht="47.25" hidden="1" customHeight="1" x14ac:dyDescent="0.25">
      <c r="A61" s="48"/>
      <c r="B61" s="69"/>
      <c r="C61" s="48"/>
      <c r="D61" s="70"/>
      <c r="F61" s="87"/>
      <c r="G61" s="2"/>
      <c r="H61" s="4"/>
      <c r="I61" s="2"/>
      <c r="J61" s="2"/>
    </row>
    <row r="62" spans="1:11" s="49" customFormat="1" ht="47.25" hidden="1" customHeight="1" x14ac:dyDescent="0.25">
      <c r="A62" s="11"/>
      <c r="B62" s="48"/>
      <c r="C62" s="48"/>
      <c r="D62" s="59"/>
      <c r="E62" s="47"/>
      <c r="F62" s="46"/>
      <c r="G62" s="2"/>
      <c r="H62" s="12"/>
      <c r="I62" s="13"/>
      <c r="J62" s="13"/>
    </row>
    <row r="63" spans="1:11" s="49" customFormat="1" ht="23.25" customHeight="1" x14ac:dyDescent="0.25">
      <c r="A63" s="6" t="s">
        <v>118</v>
      </c>
      <c r="B63" s="101" t="s">
        <v>119</v>
      </c>
      <c r="C63" s="101" t="s">
        <v>120</v>
      </c>
      <c r="D63" s="26" t="s">
        <v>121</v>
      </c>
      <c r="E63" s="156" t="s">
        <v>138</v>
      </c>
      <c r="F63" s="159" t="s">
        <v>255</v>
      </c>
      <c r="G63" s="2">
        <f t="shared" si="0"/>
        <v>2277800</v>
      </c>
      <c r="H63" s="12">
        <f>200000+265800+200000+1022000+65000+61200+180000+283800</f>
        <v>2277800</v>
      </c>
      <c r="I63" s="12"/>
      <c r="J63" s="12"/>
    </row>
    <row r="64" spans="1:11" ht="31.5" customHeight="1" x14ac:dyDescent="0.2">
      <c r="A64" s="6" t="s">
        <v>122</v>
      </c>
      <c r="B64" s="40" t="s">
        <v>123</v>
      </c>
      <c r="C64" s="40" t="s">
        <v>124</v>
      </c>
      <c r="D64" s="37" t="s">
        <v>125</v>
      </c>
      <c r="E64" s="157"/>
      <c r="F64" s="160"/>
      <c r="G64" s="2">
        <f t="shared" si="0"/>
        <v>250000</v>
      </c>
      <c r="H64" s="12">
        <v>250000</v>
      </c>
      <c r="I64" s="12"/>
      <c r="J64" s="2"/>
      <c r="K64" s="50"/>
    </row>
    <row r="65" spans="1:11" ht="31.5" customHeight="1" x14ac:dyDescent="0.2">
      <c r="A65" s="130" t="s">
        <v>215</v>
      </c>
      <c r="B65" s="120" t="s">
        <v>213</v>
      </c>
      <c r="C65" s="120" t="s">
        <v>34</v>
      </c>
      <c r="D65" s="60" t="s">
        <v>223</v>
      </c>
      <c r="E65" s="157"/>
      <c r="F65" s="160"/>
      <c r="G65" s="2">
        <f t="shared" si="0"/>
        <v>319000</v>
      </c>
      <c r="H65" s="12">
        <f>100000+117000+102000</f>
        <v>319000</v>
      </c>
      <c r="I65" s="12"/>
      <c r="J65" s="2"/>
      <c r="K65" s="50"/>
    </row>
    <row r="66" spans="1:11" ht="31.5" customHeight="1" x14ac:dyDescent="0.2">
      <c r="A66" s="131"/>
      <c r="B66" s="129"/>
      <c r="C66" s="129"/>
      <c r="D66" s="60" t="s">
        <v>224</v>
      </c>
      <c r="E66" s="157"/>
      <c r="F66" s="160"/>
      <c r="G66" s="2">
        <f t="shared" si="0"/>
        <v>153600</v>
      </c>
      <c r="H66" s="12">
        <f>123600+30000</f>
        <v>153600</v>
      </c>
      <c r="I66" s="12"/>
      <c r="J66" s="2"/>
      <c r="K66" s="50"/>
    </row>
    <row r="67" spans="1:11" ht="31.5" customHeight="1" x14ac:dyDescent="0.25">
      <c r="A67" s="6" t="s">
        <v>243</v>
      </c>
      <c r="B67" s="101" t="s">
        <v>244</v>
      </c>
      <c r="C67" s="101" t="s">
        <v>34</v>
      </c>
      <c r="D67" s="102" t="s">
        <v>245</v>
      </c>
      <c r="E67" s="157"/>
      <c r="F67" s="160"/>
      <c r="G67" s="2">
        <f t="shared" si="0"/>
        <v>104500</v>
      </c>
      <c r="H67" s="12">
        <f>49500+55000</f>
        <v>104500</v>
      </c>
      <c r="I67" s="12"/>
      <c r="J67" s="2"/>
      <c r="K67" s="50"/>
    </row>
    <row r="68" spans="1:11" ht="45" x14ac:dyDescent="0.25">
      <c r="A68" s="40" t="s">
        <v>32</v>
      </c>
      <c r="B68" s="40" t="s">
        <v>33</v>
      </c>
      <c r="C68" s="40" t="s">
        <v>34</v>
      </c>
      <c r="D68" s="68" t="s">
        <v>24</v>
      </c>
      <c r="E68" s="157"/>
      <c r="F68" s="160"/>
      <c r="G68" s="2">
        <f t="shared" si="0"/>
        <v>2574672</v>
      </c>
      <c r="H68" s="4">
        <f>2565000-35000+9672</f>
        <v>2539672</v>
      </c>
      <c r="I68" s="4">
        <f>35000</f>
        <v>35000</v>
      </c>
      <c r="J68" s="109">
        <f>I68</f>
        <v>35000</v>
      </c>
    </row>
    <row r="69" spans="1:11" ht="18" customHeight="1" x14ac:dyDescent="0.25">
      <c r="A69" s="40" t="s">
        <v>35</v>
      </c>
      <c r="B69" s="40" t="s">
        <v>36</v>
      </c>
      <c r="C69" s="40" t="s">
        <v>34</v>
      </c>
      <c r="D69" s="68" t="s">
        <v>25</v>
      </c>
      <c r="E69" s="157"/>
      <c r="F69" s="160"/>
      <c r="G69" s="2">
        <f t="shared" si="0"/>
        <v>10282000</v>
      </c>
      <c r="H69" s="4">
        <f>10600000-60000+201000-236000+230000-200000-253000</f>
        <v>10282000</v>
      </c>
      <c r="I69" s="4"/>
      <c r="J69" s="4"/>
    </row>
    <row r="70" spans="1:11" ht="21" customHeight="1" x14ac:dyDescent="0.25">
      <c r="A70" s="8" t="s">
        <v>105</v>
      </c>
      <c r="B70" s="7" t="s">
        <v>106</v>
      </c>
      <c r="C70" s="7" t="s">
        <v>107</v>
      </c>
      <c r="D70" s="30" t="s">
        <v>108</v>
      </c>
      <c r="E70" s="157"/>
      <c r="F70" s="160"/>
      <c r="G70" s="2">
        <f t="shared" si="0"/>
        <v>300000</v>
      </c>
      <c r="H70" s="4">
        <v>300000</v>
      </c>
      <c r="I70" s="4"/>
      <c r="J70" s="4"/>
    </row>
    <row r="71" spans="1:11" ht="17.25" customHeight="1" x14ac:dyDescent="0.2">
      <c r="A71" s="134" t="s">
        <v>88</v>
      </c>
      <c r="B71" s="162"/>
      <c r="C71" s="162"/>
      <c r="D71" s="162"/>
      <c r="E71" s="158"/>
      <c r="F71" s="161"/>
      <c r="G71" s="2">
        <f>H71+I71</f>
        <v>16261572</v>
      </c>
      <c r="H71" s="2">
        <f>H61+H62+H63+H64+H65+H66+H67+H68+H69+H70</f>
        <v>16226572</v>
      </c>
      <c r="I71" s="2">
        <f t="shared" ref="I71:J71" si="7">I63+I64+I65+I66+I68+I69+I70</f>
        <v>35000</v>
      </c>
      <c r="J71" s="2">
        <f t="shared" si="7"/>
        <v>35000</v>
      </c>
    </row>
    <row r="72" spans="1:11" ht="27.75" customHeight="1" x14ac:dyDescent="0.25">
      <c r="A72" s="40" t="s">
        <v>101</v>
      </c>
      <c r="B72" s="40" t="s">
        <v>102</v>
      </c>
      <c r="C72" s="40" t="s">
        <v>103</v>
      </c>
      <c r="D72" s="29" t="s">
        <v>104</v>
      </c>
      <c r="E72" s="163" t="s">
        <v>196</v>
      </c>
      <c r="F72" s="183" t="s">
        <v>188</v>
      </c>
      <c r="G72" s="2">
        <f t="shared" ref="G72:G100" si="8">H72+I72</f>
        <v>195000</v>
      </c>
      <c r="H72" s="12">
        <v>195000</v>
      </c>
      <c r="I72" s="12"/>
      <c r="J72" s="12"/>
    </row>
    <row r="73" spans="1:11" ht="17.25" hidden="1" customHeight="1" x14ac:dyDescent="0.25">
      <c r="A73" s="40" t="s">
        <v>16</v>
      </c>
      <c r="B73" s="40" t="s">
        <v>17</v>
      </c>
      <c r="C73" s="40" t="s">
        <v>18</v>
      </c>
      <c r="D73" s="59" t="s">
        <v>15</v>
      </c>
      <c r="E73" s="164"/>
      <c r="F73" s="164"/>
      <c r="G73" s="2">
        <f t="shared" si="8"/>
        <v>0</v>
      </c>
      <c r="H73" s="12"/>
      <c r="I73" s="12"/>
      <c r="J73" s="12"/>
    </row>
    <row r="74" spans="1:11" ht="20.25" customHeight="1" x14ac:dyDescent="0.25">
      <c r="A74" s="40" t="s">
        <v>42</v>
      </c>
      <c r="B74" s="69">
        <v>1010</v>
      </c>
      <c r="C74" s="40" t="s">
        <v>49</v>
      </c>
      <c r="D74" s="29" t="s">
        <v>54</v>
      </c>
      <c r="E74" s="164"/>
      <c r="F74" s="164"/>
      <c r="G74" s="2">
        <f t="shared" si="8"/>
        <v>50000</v>
      </c>
      <c r="H74" s="12">
        <v>50000</v>
      </c>
      <c r="I74" s="12"/>
      <c r="J74" s="12"/>
    </row>
    <row r="75" spans="1:11" ht="47.25" x14ac:dyDescent="0.25">
      <c r="A75" s="40" t="s">
        <v>43</v>
      </c>
      <c r="B75" s="69">
        <v>1020</v>
      </c>
      <c r="C75" s="40" t="s">
        <v>50</v>
      </c>
      <c r="D75" s="70" t="s">
        <v>202</v>
      </c>
      <c r="E75" s="164"/>
      <c r="F75" s="164"/>
      <c r="G75" s="2">
        <f t="shared" si="8"/>
        <v>50000</v>
      </c>
      <c r="H75" s="12">
        <v>50000</v>
      </c>
      <c r="I75" s="12"/>
      <c r="J75" s="12"/>
    </row>
    <row r="76" spans="1:11" ht="31.5" customHeight="1" x14ac:dyDescent="0.25">
      <c r="A76" s="40" t="s">
        <v>109</v>
      </c>
      <c r="B76" s="40" t="s">
        <v>102</v>
      </c>
      <c r="C76" s="40" t="s">
        <v>103</v>
      </c>
      <c r="D76" s="29" t="s">
        <v>104</v>
      </c>
      <c r="E76" s="164"/>
      <c r="F76" s="164"/>
      <c r="G76" s="2">
        <f t="shared" si="8"/>
        <v>25000</v>
      </c>
      <c r="H76" s="12">
        <v>25000</v>
      </c>
      <c r="I76" s="12"/>
      <c r="J76" s="12"/>
    </row>
    <row r="77" spans="1:11" ht="47.25" hidden="1" customHeight="1" x14ac:dyDescent="0.25">
      <c r="A77" s="8" t="s">
        <v>142</v>
      </c>
      <c r="B77" s="7" t="s">
        <v>143</v>
      </c>
      <c r="C77" s="7" t="s">
        <v>46</v>
      </c>
      <c r="D77" s="59" t="s">
        <v>144</v>
      </c>
      <c r="E77" s="164"/>
      <c r="F77" s="164"/>
      <c r="G77" s="2">
        <f t="shared" si="8"/>
        <v>0</v>
      </c>
      <c r="H77" s="12"/>
      <c r="I77" s="12"/>
      <c r="J77" s="12"/>
    </row>
    <row r="78" spans="1:11" ht="58.5" customHeight="1" x14ac:dyDescent="0.25">
      <c r="A78" s="8" t="s">
        <v>142</v>
      </c>
      <c r="B78" s="7" t="s">
        <v>143</v>
      </c>
      <c r="C78" s="7" t="s">
        <v>46</v>
      </c>
      <c r="D78" s="30" t="s">
        <v>144</v>
      </c>
      <c r="E78" s="164"/>
      <c r="F78" s="164"/>
      <c r="G78" s="2">
        <f t="shared" si="8"/>
        <v>20000</v>
      </c>
      <c r="H78" s="12">
        <v>20000</v>
      </c>
      <c r="I78" s="12"/>
      <c r="J78" s="12"/>
    </row>
    <row r="79" spans="1:11" ht="29.25" customHeight="1" x14ac:dyDescent="0.25">
      <c r="A79" s="40" t="s">
        <v>110</v>
      </c>
      <c r="B79" s="40" t="s">
        <v>111</v>
      </c>
      <c r="C79" s="40" t="s">
        <v>112</v>
      </c>
      <c r="D79" s="29" t="s">
        <v>113</v>
      </c>
      <c r="E79" s="164"/>
      <c r="F79" s="164"/>
      <c r="G79" s="2">
        <f t="shared" si="8"/>
        <v>40000</v>
      </c>
      <c r="H79" s="92">
        <v>40000</v>
      </c>
      <c r="I79" s="12"/>
      <c r="J79" s="12"/>
    </row>
    <row r="80" spans="1:11" ht="15.75" hidden="1" x14ac:dyDescent="0.25">
      <c r="A80" s="40" t="s">
        <v>73</v>
      </c>
      <c r="B80" s="40" t="s">
        <v>76</v>
      </c>
      <c r="C80" s="40" t="s">
        <v>29</v>
      </c>
      <c r="D80" s="29" t="s">
        <v>79</v>
      </c>
      <c r="E80" s="164"/>
      <c r="F80" s="164"/>
      <c r="G80" s="2">
        <f t="shared" si="8"/>
        <v>0</v>
      </c>
      <c r="H80" s="92"/>
      <c r="I80" s="12"/>
      <c r="J80" s="12"/>
    </row>
    <row r="81" spans="1:11" ht="18" customHeight="1" x14ac:dyDescent="0.25">
      <c r="A81" s="8" t="s">
        <v>140</v>
      </c>
      <c r="B81" s="7" t="s">
        <v>139</v>
      </c>
      <c r="C81" s="7" t="s">
        <v>51</v>
      </c>
      <c r="D81" s="70" t="s">
        <v>204</v>
      </c>
      <c r="E81" s="164"/>
      <c r="F81" s="164"/>
      <c r="G81" s="2">
        <f t="shared" si="8"/>
        <v>20000</v>
      </c>
      <c r="H81" s="92">
        <v>20000</v>
      </c>
      <c r="I81" s="12"/>
      <c r="J81" s="12"/>
    </row>
    <row r="82" spans="1:11" ht="18" customHeight="1" x14ac:dyDescent="0.25">
      <c r="A82" s="8" t="s">
        <v>73</v>
      </c>
      <c r="B82" s="7" t="s">
        <v>76</v>
      </c>
      <c r="C82" s="7" t="s">
        <v>29</v>
      </c>
      <c r="D82" s="70" t="s">
        <v>163</v>
      </c>
      <c r="E82" s="164"/>
      <c r="F82" s="164"/>
      <c r="G82" s="2">
        <f t="shared" si="8"/>
        <v>20000</v>
      </c>
      <c r="H82" s="12">
        <v>20000</v>
      </c>
      <c r="I82" s="12"/>
      <c r="J82" s="12"/>
    </row>
    <row r="83" spans="1:11" ht="17.25" customHeight="1" x14ac:dyDescent="0.25">
      <c r="A83" s="40" t="s">
        <v>114</v>
      </c>
      <c r="B83" s="40" t="s">
        <v>115</v>
      </c>
      <c r="C83" s="40" t="s">
        <v>53</v>
      </c>
      <c r="D83" s="29" t="s">
        <v>116</v>
      </c>
      <c r="E83" s="164"/>
      <c r="F83" s="164"/>
      <c r="G83" s="2">
        <f t="shared" si="8"/>
        <v>20000</v>
      </c>
      <c r="H83" s="12">
        <v>20000</v>
      </c>
      <c r="I83" s="12"/>
      <c r="J83" s="12"/>
    </row>
    <row r="84" spans="1:11" ht="27.75" customHeight="1" x14ac:dyDescent="0.25">
      <c r="A84" s="40" t="s">
        <v>117</v>
      </c>
      <c r="B84" s="40" t="s">
        <v>102</v>
      </c>
      <c r="C84" s="40" t="s">
        <v>103</v>
      </c>
      <c r="D84" s="29" t="s">
        <v>104</v>
      </c>
      <c r="E84" s="164"/>
      <c r="F84" s="164"/>
      <c r="G84" s="2">
        <f t="shared" si="8"/>
        <v>40000</v>
      </c>
      <c r="H84" s="12">
        <v>40000</v>
      </c>
      <c r="I84" s="12"/>
      <c r="J84" s="12"/>
    </row>
    <row r="85" spans="1:11" ht="15.75" x14ac:dyDescent="0.25">
      <c r="A85" s="134" t="s">
        <v>88</v>
      </c>
      <c r="B85" s="188"/>
      <c r="C85" s="188"/>
      <c r="D85" s="189"/>
      <c r="E85" s="165"/>
      <c r="F85" s="165"/>
      <c r="G85" s="2">
        <f t="shared" si="8"/>
        <v>480000</v>
      </c>
      <c r="H85" s="13">
        <f>SUM(H72:H84)</f>
        <v>480000</v>
      </c>
      <c r="I85" s="13">
        <f t="shared" ref="I85:J85" si="9">SUM(I72:I84)</f>
        <v>0</v>
      </c>
      <c r="J85" s="13">
        <f t="shared" si="9"/>
        <v>0</v>
      </c>
    </row>
    <row r="86" spans="1:11" ht="34.5" customHeight="1" x14ac:dyDescent="0.2">
      <c r="A86" s="40" t="s">
        <v>42</v>
      </c>
      <c r="B86" s="69">
        <v>1010</v>
      </c>
      <c r="C86" s="40" t="s">
        <v>49</v>
      </c>
      <c r="D86" s="36" t="s">
        <v>54</v>
      </c>
      <c r="E86" s="36" t="s">
        <v>211</v>
      </c>
      <c r="F86" s="44" t="s">
        <v>227</v>
      </c>
      <c r="G86" s="34">
        <f>H86+I86</f>
        <v>103545</v>
      </c>
      <c r="H86" s="33">
        <v>103545</v>
      </c>
      <c r="I86" s="33"/>
      <c r="J86" s="33"/>
    </row>
    <row r="87" spans="1:11" ht="20.25" customHeight="1" x14ac:dyDescent="0.25">
      <c r="A87" s="134" t="s">
        <v>88</v>
      </c>
      <c r="B87" s="188"/>
      <c r="C87" s="188"/>
      <c r="D87" s="189"/>
      <c r="E87" s="71"/>
      <c r="F87" s="72"/>
      <c r="G87" s="34">
        <f>G86</f>
        <v>103545</v>
      </c>
      <c r="H87" s="34">
        <f>H86</f>
        <v>103545</v>
      </c>
      <c r="I87" s="34">
        <f t="shared" ref="I87:J87" si="10">I86</f>
        <v>0</v>
      </c>
      <c r="J87" s="34">
        <f t="shared" si="10"/>
        <v>0</v>
      </c>
    </row>
    <row r="88" spans="1:11" ht="0.75" customHeight="1" x14ac:dyDescent="0.25">
      <c r="A88" s="8" t="s">
        <v>42</v>
      </c>
      <c r="B88" s="7" t="s">
        <v>45</v>
      </c>
      <c r="C88" s="7" t="s">
        <v>49</v>
      </c>
      <c r="D88" s="98" t="s">
        <v>54</v>
      </c>
      <c r="E88" s="180" t="s">
        <v>141</v>
      </c>
      <c r="F88" s="183" t="s">
        <v>254</v>
      </c>
      <c r="G88" s="2">
        <f t="shared" si="8"/>
        <v>0</v>
      </c>
      <c r="H88" s="34"/>
      <c r="I88" s="33"/>
      <c r="J88" s="12">
        <f>I88</f>
        <v>0</v>
      </c>
    </row>
    <row r="89" spans="1:11" ht="47.25" x14ac:dyDescent="0.25">
      <c r="A89" s="6" t="s">
        <v>43</v>
      </c>
      <c r="B89" s="40" t="s">
        <v>46</v>
      </c>
      <c r="C89" s="40" t="s">
        <v>50</v>
      </c>
      <c r="D89" s="70" t="s">
        <v>202</v>
      </c>
      <c r="E89" s="181"/>
      <c r="F89" s="184"/>
      <c r="G89" s="2">
        <f t="shared" si="8"/>
        <v>3048283</v>
      </c>
      <c r="H89" s="13"/>
      <c r="I89" s="12">
        <f>1476000+30000+199879+207400+481006+10000+48000+175998+420000</f>
        <v>3048283</v>
      </c>
      <c r="J89" s="110">
        <f>I89</f>
        <v>3048283</v>
      </c>
      <c r="K89" s="50"/>
    </row>
    <row r="90" spans="1:11" ht="21.75" customHeight="1" x14ac:dyDescent="0.2">
      <c r="A90" s="6" t="s">
        <v>118</v>
      </c>
      <c r="B90" s="40" t="s">
        <v>119</v>
      </c>
      <c r="C90" s="40" t="s">
        <v>120</v>
      </c>
      <c r="D90" s="26" t="s">
        <v>121</v>
      </c>
      <c r="E90" s="181"/>
      <c r="F90" s="184"/>
      <c r="G90" s="2">
        <f t="shared" si="8"/>
        <v>11051341</v>
      </c>
      <c r="H90" s="13"/>
      <c r="I90" s="12">
        <f>9167900+250000-1707559+630000+1805000+206000+700000</f>
        <v>11051341</v>
      </c>
      <c r="J90" s="12">
        <f>I90-250000</f>
        <v>10801341</v>
      </c>
    </row>
    <row r="91" spans="1:11" ht="33.75" hidden="1" customHeight="1" x14ac:dyDescent="0.2">
      <c r="A91" s="7"/>
      <c r="B91" s="88"/>
      <c r="C91" s="88"/>
      <c r="D91" s="60"/>
      <c r="E91" s="181"/>
      <c r="F91" s="184"/>
      <c r="G91" s="2">
        <f t="shared" si="8"/>
        <v>0</v>
      </c>
      <c r="H91" s="13"/>
      <c r="I91" s="12"/>
      <c r="J91" s="12">
        <f>I91</f>
        <v>0</v>
      </c>
    </row>
    <row r="92" spans="1:11" ht="51.75" customHeight="1" x14ac:dyDescent="0.25">
      <c r="A92" s="8" t="s">
        <v>32</v>
      </c>
      <c r="B92" s="7" t="s">
        <v>33</v>
      </c>
      <c r="C92" s="7" t="s">
        <v>34</v>
      </c>
      <c r="D92" s="30" t="s">
        <v>24</v>
      </c>
      <c r="E92" s="181"/>
      <c r="F92" s="184"/>
      <c r="G92" s="2">
        <f t="shared" si="8"/>
        <v>442976</v>
      </c>
      <c r="H92" s="13"/>
      <c r="I92" s="12">
        <f>392976+50000</f>
        <v>442976</v>
      </c>
      <c r="J92" s="12">
        <f>I92</f>
        <v>442976</v>
      </c>
    </row>
    <row r="93" spans="1:11" ht="24.75" customHeight="1" x14ac:dyDescent="0.25">
      <c r="A93" s="40" t="s">
        <v>35</v>
      </c>
      <c r="B93" s="40" t="s">
        <v>36</v>
      </c>
      <c r="C93" s="40" t="s">
        <v>34</v>
      </c>
      <c r="D93" s="68" t="s">
        <v>25</v>
      </c>
      <c r="E93" s="181"/>
      <c r="F93" s="184"/>
      <c r="G93" s="2">
        <f t="shared" si="8"/>
        <v>684000</v>
      </c>
      <c r="H93" s="12">
        <f>199000+190000</f>
        <v>389000</v>
      </c>
      <c r="I93" s="12">
        <f>1000000-805000+100000</f>
        <v>295000</v>
      </c>
      <c r="J93" s="12">
        <f>I93</f>
        <v>295000</v>
      </c>
    </row>
    <row r="94" spans="1:11" ht="30" customHeight="1" x14ac:dyDescent="0.25">
      <c r="A94" s="8" t="s">
        <v>158</v>
      </c>
      <c r="B94" s="7" t="s">
        <v>151</v>
      </c>
      <c r="C94" s="7" t="s">
        <v>167</v>
      </c>
      <c r="D94" s="30" t="s">
        <v>168</v>
      </c>
      <c r="E94" s="181"/>
      <c r="F94" s="184"/>
      <c r="G94" s="2">
        <f t="shared" si="8"/>
        <v>1977187</v>
      </c>
      <c r="H94" s="12">
        <f>3000000-1773510-200000+100000</f>
        <v>1126490</v>
      </c>
      <c r="I94" s="12">
        <f>317325+319474+198910+14988</f>
        <v>850697</v>
      </c>
      <c r="J94" s="12">
        <f>I94</f>
        <v>850697</v>
      </c>
    </row>
    <row r="95" spans="1:11" ht="45" customHeight="1" x14ac:dyDescent="0.25">
      <c r="A95" s="8" t="s">
        <v>109</v>
      </c>
      <c r="B95" s="7" t="s">
        <v>102</v>
      </c>
      <c r="C95" s="7" t="s">
        <v>103</v>
      </c>
      <c r="D95" s="70" t="s">
        <v>104</v>
      </c>
      <c r="E95" s="181"/>
      <c r="F95" s="184"/>
      <c r="G95" s="2">
        <f t="shared" si="8"/>
        <v>18706</v>
      </c>
      <c r="H95" s="12"/>
      <c r="I95" s="12">
        <v>18706</v>
      </c>
      <c r="J95" s="12">
        <f>9436</f>
        <v>9436</v>
      </c>
    </row>
    <row r="96" spans="1:11" ht="59.25" customHeight="1" x14ac:dyDescent="0.25">
      <c r="A96" s="8" t="s">
        <v>142</v>
      </c>
      <c r="B96" s="7" t="s">
        <v>143</v>
      </c>
      <c r="C96" s="7" t="s">
        <v>46</v>
      </c>
      <c r="D96" s="30" t="s">
        <v>144</v>
      </c>
      <c r="E96" s="181"/>
      <c r="F96" s="184"/>
      <c r="G96" s="2">
        <f t="shared" si="8"/>
        <v>255000</v>
      </c>
      <c r="H96" s="12"/>
      <c r="I96" s="12">
        <f>195000+60000</f>
        <v>255000</v>
      </c>
      <c r="J96" s="12">
        <f>I96</f>
        <v>255000</v>
      </c>
    </row>
    <row r="97" spans="1:12" ht="29.25" customHeight="1" x14ac:dyDescent="0.25">
      <c r="A97" s="8" t="s">
        <v>239</v>
      </c>
      <c r="B97" s="7" t="s">
        <v>237</v>
      </c>
      <c r="C97" s="7" t="s">
        <v>53</v>
      </c>
      <c r="D97" s="98" t="s">
        <v>238</v>
      </c>
      <c r="E97" s="181"/>
      <c r="F97" s="184"/>
      <c r="G97" s="2">
        <f t="shared" si="8"/>
        <v>107320</v>
      </c>
      <c r="H97" s="12"/>
      <c r="I97" s="12">
        <f>73600+33720</f>
        <v>107320</v>
      </c>
      <c r="J97" s="110">
        <f>I97</f>
        <v>107320</v>
      </c>
    </row>
    <row r="98" spans="1:12" ht="18.75" customHeight="1" x14ac:dyDescent="0.25">
      <c r="A98" s="8" t="s">
        <v>114</v>
      </c>
      <c r="B98" s="7" t="s">
        <v>115</v>
      </c>
      <c r="C98" s="7" t="s">
        <v>53</v>
      </c>
      <c r="D98" s="29" t="s">
        <v>116</v>
      </c>
      <c r="E98" s="181"/>
      <c r="F98" s="184"/>
      <c r="G98" s="2">
        <f t="shared" si="8"/>
        <v>210857</v>
      </c>
      <c r="H98" s="13"/>
      <c r="I98" s="12">
        <f>1476000-85155-1305000+150000-24988</f>
        <v>210857</v>
      </c>
      <c r="J98" s="12">
        <f>I98</f>
        <v>210857</v>
      </c>
    </row>
    <row r="99" spans="1:12" ht="18.75" customHeight="1" x14ac:dyDescent="0.25">
      <c r="A99" s="8" t="s">
        <v>164</v>
      </c>
      <c r="B99" s="7" t="s">
        <v>165</v>
      </c>
      <c r="C99" s="7" t="s">
        <v>17</v>
      </c>
      <c r="D99" s="73" t="s">
        <v>166</v>
      </c>
      <c r="E99" s="181"/>
      <c r="F99" s="184"/>
      <c r="G99" s="2">
        <f t="shared" si="8"/>
        <v>1862500</v>
      </c>
      <c r="H99" s="13"/>
      <c r="I99" s="12">
        <f>1862500</f>
        <v>1862500</v>
      </c>
      <c r="J99" s="12">
        <f>1862500</f>
        <v>1862500</v>
      </c>
    </row>
    <row r="100" spans="1:12" ht="15.75" x14ac:dyDescent="0.2">
      <c r="A100" s="134" t="s">
        <v>88</v>
      </c>
      <c r="B100" s="162"/>
      <c r="C100" s="162"/>
      <c r="D100" s="172"/>
      <c r="E100" s="182"/>
      <c r="F100" s="185"/>
      <c r="G100" s="2">
        <f t="shared" si="8"/>
        <v>19658170</v>
      </c>
      <c r="H100" s="2">
        <f>H88+H89+H90+H91+H92+H93+H94+H95+H96+H97+H98+H99</f>
        <v>1515490</v>
      </c>
      <c r="I100" s="2">
        <f>I88+I89+I90+I91+I92+I93+I94+I95+I96+I97+I98+I99</f>
        <v>18142680</v>
      </c>
      <c r="J100" s="2">
        <f>J88+J89+J90+J91+J92+J93+J94+J95+J96+J97+J98+J99</f>
        <v>17883410</v>
      </c>
    </row>
    <row r="101" spans="1:12" ht="19.5" customHeight="1" x14ac:dyDescent="0.25">
      <c r="A101" s="178" t="s">
        <v>169</v>
      </c>
      <c r="B101" s="130" t="s">
        <v>170</v>
      </c>
      <c r="C101" s="130" t="s">
        <v>171</v>
      </c>
      <c r="D101" s="30" t="s">
        <v>225</v>
      </c>
      <c r="E101" s="168" t="s">
        <v>208</v>
      </c>
      <c r="F101" s="142" t="s">
        <v>256</v>
      </c>
      <c r="G101" s="2">
        <f>H101+I101</f>
        <v>276905</v>
      </c>
      <c r="H101" s="4">
        <f>309000-32095</f>
        <v>276905</v>
      </c>
      <c r="I101" s="2"/>
      <c r="J101" s="2"/>
    </row>
    <row r="102" spans="1:12" ht="19.5" customHeight="1" x14ac:dyDescent="0.25">
      <c r="A102" s="171"/>
      <c r="B102" s="122"/>
      <c r="C102" s="122"/>
      <c r="D102" s="30" t="s">
        <v>226</v>
      </c>
      <c r="E102" s="176"/>
      <c r="F102" s="173"/>
      <c r="G102" s="2">
        <f>H102+I102</f>
        <v>43328</v>
      </c>
      <c r="H102" s="4">
        <f>53000-9672</f>
        <v>43328</v>
      </c>
      <c r="I102" s="2"/>
      <c r="J102" s="2"/>
    </row>
    <row r="103" spans="1:12" ht="15.75" x14ac:dyDescent="0.25">
      <c r="A103" s="42" t="s">
        <v>173</v>
      </c>
      <c r="B103" s="43" t="s">
        <v>174</v>
      </c>
      <c r="C103" s="43" t="s">
        <v>175</v>
      </c>
      <c r="D103" s="30" t="s">
        <v>203</v>
      </c>
      <c r="E103" s="176"/>
      <c r="F103" s="173"/>
      <c r="G103" s="2">
        <f t="shared" ref="G103:G109" si="11">H103+I103</f>
        <v>85400</v>
      </c>
      <c r="H103" s="4">
        <f>24000+63630-2230</f>
        <v>85400</v>
      </c>
      <c r="I103" s="2"/>
      <c r="J103" s="2"/>
    </row>
    <row r="104" spans="1:12" ht="31.5" x14ac:dyDescent="0.25">
      <c r="A104" s="178" t="s">
        <v>176</v>
      </c>
      <c r="B104" s="130" t="s">
        <v>170</v>
      </c>
      <c r="C104" s="130" t="s">
        <v>171</v>
      </c>
      <c r="D104" s="30" t="s">
        <v>180</v>
      </c>
      <c r="E104" s="176"/>
      <c r="F104" s="173"/>
      <c r="G104" s="2">
        <f t="shared" si="11"/>
        <v>86853</v>
      </c>
      <c r="H104" s="4">
        <f>130000-43147</f>
        <v>86853</v>
      </c>
      <c r="I104" s="2"/>
      <c r="J104" s="2"/>
    </row>
    <row r="105" spans="1:12" ht="31.5" x14ac:dyDescent="0.25">
      <c r="A105" s="179"/>
      <c r="B105" s="131"/>
      <c r="C105" s="131"/>
      <c r="D105" s="30" t="s">
        <v>181</v>
      </c>
      <c r="E105" s="176"/>
      <c r="F105" s="173"/>
      <c r="G105" s="2">
        <f t="shared" si="11"/>
        <v>41510</v>
      </c>
      <c r="H105" s="4">
        <f>47000-5490</f>
        <v>41510</v>
      </c>
      <c r="I105" s="2"/>
      <c r="J105" s="2"/>
    </row>
    <row r="106" spans="1:12" ht="31.5" x14ac:dyDescent="0.25">
      <c r="A106" s="42" t="s">
        <v>177</v>
      </c>
      <c r="B106" s="43" t="s">
        <v>170</v>
      </c>
      <c r="C106" s="43" t="s">
        <v>171</v>
      </c>
      <c r="D106" s="30" t="s">
        <v>182</v>
      </c>
      <c r="E106" s="176"/>
      <c r="F106" s="173"/>
      <c r="G106" s="2">
        <f t="shared" si="11"/>
        <v>13445</v>
      </c>
      <c r="H106" s="4">
        <f>17000+8640-12195</f>
        <v>13445</v>
      </c>
      <c r="I106" s="2"/>
      <c r="J106" s="2"/>
    </row>
    <row r="107" spans="1:12" ht="31.5" x14ac:dyDescent="0.25">
      <c r="A107" s="42" t="s">
        <v>178</v>
      </c>
      <c r="B107" s="43" t="s">
        <v>170</v>
      </c>
      <c r="C107" s="43" t="s">
        <v>171</v>
      </c>
      <c r="D107" s="30" t="s">
        <v>183</v>
      </c>
      <c r="E107" s="176"/>
      <c r="F107" s="173"/>
      <c r="G107" s="2">
        <f t="shared" si="11"/>
        <v>3000</v>
      </c>
      <c r="H107" s="4">
        <f>4000-1000</f>
        <v>3000</v>
      </c>
      <c r="I107" s="2"/>
      <c r="J107" s="2"/>
    </row>
    <row r="108" spans="1:12" ht="15.75" x14ac:dyDescent="0.25">
      <c r="A108" s="8" t="s">
        <v>179</v>
      </c>
      <c r="B108" s="7" t="s">
        <v>170</v>
      </c>
      <c r="C108" s="7" t="s">
        <v>171</v>
      </c>
      <c r="D108" s="30" t="s">
        <v>172</v>
      </c>
      <c r="E108" s="176"/>
      <c r="F108" s="173"/>
      <c r="G108" s="2">
        <f t="shared" si="11"/>
        <v>26000</v>
      </c>
      <c r="H108" s="4">
        <v>26000</v>
      </c>
      <c r="I108" s="2"/>
      <c r="J108" s="2"/>
    </row>
    <row r="109" spans="1:12" ht="15.75" x14ac:dyDescent="0.2">
      <c r="A109" s="134" t="s">
        <v>88</v>
      </c>
      <c r="B109" s="162"/>
      <c r="C109" s="162"/>
      <c r="D109" s="172"/>
      <c r="E109" s="177"/>
      <c r="F109" s="149"/>
      <c r="G109" s="2">
        <f t="shared" si="11"/>
        <v>576441</v>
      </c>
      <c r="H109" s="2">
        <f>H101+H102+H103+H104+H105+H106+H107+H108</f>
        <v>576441</v>
      </c>
      <c r="I109" s="2">
        <f t="shared" ref="I109:J109" si="12">I101+I102+I103+I104+I105+I106+I107+I108</f>
        <v>0</v>
      </c>
      <c r="J109" s="2">
        <f t="shared" si="12"/>
        <v>0</v>
      </c>
    </row>
    <row r="110" spans="1:12" ht="15.75" x14ac:dyDescent="0.2">
      <c r="A110" s="23" t="s">
        <v>6</v>
      </c>
      <c r="B110" s="23" t="s">
        <v>6</v>
      </c>
      <c r="C110" s="23" t="s">
        <v>6</v>
      </c>
      <c r="D110" s="74" t="s">
        <v>7</v>
      </c>
      <c r="E110" s="56" t="s">
        <v>6</v>
      </c>
      <c r="F110" s="56" t="s">
        <v>6</v>
      </c>
      <c r="G110" s="2">
        <f>H110+I110</f>
        <v>46844926</v>
      </c>
      <c r="H110" s="2">
        <f>H11+H29+H38+H51+H54+H60</f>
        <v>25585716</v>
      </c>
      <c r="I110" s="111">
        <f>I11+I29+I38+I51+I54+I60</f>
        <v>21259210</v>
      </c>
      <c r="J110" s="111">
        <f>J11+J29+J38+J51+J54+J60</f>
        <v>20999940</v>
      </c>
      <c r="K110" s="50">
        <f>I110-J110</f>
        <v>259270</v>
      </c>
      <c r="L110" s="50">
        <f>J110-'[1]додаток 6'!$J$59</f>
        <v>20999940</v>
      </c>
    </row>
    <row r="111" spans="1:12" ht="12" customHeight="1" x14ac:dyDescent="0.25">
      <c r="K111" s="99" t="s">
        <v>240</v>
      </c>
      <c r="L111" s="10" t="e">
        <f>Д6</f>
        <v>#NAME?</v>
      </c>
    </row>
    <row r="112" spans="1:12" ht="64.5" customHeight="1" x14ac:dyDescent="0.25">
      <c r="H112" s="75"/>
      <c r="I112" s="76"/>
    </row>
    <row r="113" spans="1:11" s="80" customFormat="1" ht="20.25" x14ac:dyDescent="0.3">
      <c r="A113" s="24"/>
      <c r="B113" s="24"/>
      <c r="C113" s="24"/>
      <c r="D113" s="77" t="s">
        <v>146</v>
      </c>
      <c r="E113" s="78"/>
      <c r="F113" s="78"/>
      <c r="G113" s="79" t="s">
        <v>205</v>
      </c>
      <c r="H113" s="17"/>
      <c r="I113" s="17"/>
      <c r="J113" s="17"/>
    </row>
    <row r="114" spans="1:11" x14ac:dyDescent="0.25">
      <c r="I114" s="25"/>
      <c r="J114" s="25"/>
      <c r="K114" s="81"/>
    </row>
    <row r="115" spans="1:11" ht="15.75" x14ac:dyDescent="0.25">
      <c r="G115" s="18"/>
      <c r="H115" s="18"/>
      <c r="I115" s="82"/>
      <c r="J115" s="150"/>
      <c r="K115" s="151"/>
    </row>
    <row r="116" spans="1:11" ht="15.75" x14ac:dyDescent="0.25">
      <c r="G116" s="18"/>
      <c r="H116" s="18"/>
      <c r="I116" s="19">
        <f>17876796+259270</f>
        <v>18136066</v>
      </c>
      <c r="J116" s="150">
        <v>17876796</v>
      </c>
      <c r="K116" s="151"/>
    </row>
    <row r="117" spans="1:11" ht="15.75" x14ac:dyDescent="0.25">
      <c r="G117" s="19"/>
      <c r="H117" s="19"/>
      <c r="I117" s="107">
        <f>I110-I116</f>
        <v>3123144</v>
      </c>
      <c r="J117" s="186">
        <f>J110-J116</f>
        <v>3123144</v>
      </c>
      <c r="K117" s="187"/>
    </row>
    <row r="118" spans="1:11" ht="15.75" x14ac:dyDescent="0.25">
      <c r="G118" s="174"/>
      <c r="H118" s="175"/>
      <c r="I118" s="83"/>
      <c r="J118" s="18"/>
    </row>
    <row r="119" spans="1:11" ht="15.75" x14ac:dyDescent="0.25">
      <c r="G119" s="19"/>
      <c r="H119" s="19"/>
      <c r="I119" s="84"/>
      <c r="J119" s="18"/>
    </row>
    <row r="120" spans="1:11" ht="15.75" x14ac:dyDescent="0.25">
      <c r="G120" s="19"/>
      <c r="H120" s="19"/>
      <c r="I120" s="18"/>
      <c r="J120" s="18"/>
    </row>
    <row r="121" spans="1:11" ht="15.75" x14ac:dyDescent="0.25">
      <c r="G121" s="18"/>
      <c r="H121" s="18"/>
      <c r="I121" s="18"/>
      <c r="J121" s="18"/>
    </row>
    <row r="123" spans="1:11" x14ac:dyDescent="0.25">
      <c r="J123" s="108">
        <f>J110-J124</f>
        <v>884000</v>
      </c>
    </row>
    <row r="124" spans="1:11" x14ac:dyDescent="0.25">
      <c r="J124" s="1">
        <v>20115940</v>
      </c>
    </row>
    <row r="126" spans="1:11" ht="12.75" x14ac:dyDescent="0.2">
      <c r="A126" s="10"/>
      <c r="B126" s="10"/>
      <c r="C126" s="10"/>
      <c r="D126" s="10"/>
      <c r="G126" s="10"/>
      <c r="H126" s="10"/>
      <c r="I126" s="20"/>
      <c r="J126" s="10"/>
    </row>
  </sheetData>
  <mergeCells count="84"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E8:E9"/>
    <mergeCell ref="A2:B2"/>
    <mergeCell ref="A3:B3"/>
    <mergeCell ref="A8:A9"/>
    <mergeCell ref="B8:B9"/>
    <mergeCell ref="C8:C9"/>
    <mergeCell ref="F72:F85"/>
    <mergeCell ref="A85:D85"/>
    <mergeCell ref="A87:D87"/>
    <mergeCell ref="A36:D36"/>
    <mergeCell ref="A38:C38"/>
    <mergeCell ref="D38:F38"/>
    <mergeCell ref="A43:D43"/>
    <mergeCell ref="E30:E36"/>
    <mergeCell ref="E40:E43"/>
    <mergeCell ref="F30:F36"/>
    <mergeCell ref="D44:E44"/>
    <mergeCell ref="F47:F50"/>
    <mergeCell ref="D51:F51"/>
    <mergeCell ref="A54:C54"/>
    <mergeCell ref="A100:D100"/>
    <mergeCell ref="A109:D109"/>
    <mergeCell ref="F101:F109"/>
    <mergeCell ref="J115:K115"/>
    <mergeCell ref="G118:H118"/>
    <mergeCell ref="E101:E109"/>
    <mergeCell ref="A104:A105"/>
    <mergeCell ref="B104:B105"/>
    <mergeCell ref="C104:C105"/>
    <mergeCell ref="A101:A102"/>
    <mergeCell ref="B101:B102"/>
    <mergeCell ref="C101:C102"/>
    <mergeCell ref="E88:E100"/>
    <mergeCell ref="F88:F100"/>
    <mergeCell ref="J117:K117"/>
    <mergeCell ref="E19:E20"/>
    <mergeCell ref="F19:F20"/>
    <mergeCell ref="E16:E17"/>
    <mergeCell ref="F16:F17"/>
    <mergeCell ref="J116:K116"/>
    <mergeCell ref="F58:F59"/>
    <mergeCell ref="A60:F60"/>
    <mergeCell ref="E63:E71"/>
    <mergeCell ref="F63:F71"/>
    <mergeCell ref="A71:D71"/>
    <mergeCell ref="E72:E85"/>
    <mergeCell ref="A56:A58"/>
    <mergeCell ref="B56:B58"/>
    <mergeCell ref="C56:C58"/>
    <mergeCell ref="E25:E26"/>
    <mergeCell ref="F25:F26"/>
    <mergeCell ref="D8:D9"/>
    <mergeCell ref="A12:A14"/>
    <mergeCell ref="B12:B14"/>
    <mergeCell ref="B65:B66"/>
    <mergeCell ref="C65:C66"/>
    <mergeCell ref="A65:A66"/>
    <mergeCell ref="C12:C14"/>
    <mergeCell ref="D12:D14"/>
    <mergeCell ref="A15:D15"/>
    <mergeCell ref="D54:F54"/>
    <mergeCell ref="D56:D58"/>
    <mergeCell ref="D23:D24"/>
    <mergeCell ref="C23:C24"/>
    <mergeCell ref="B23:B24"/>
    <mergeCell ref="A23:A24"/>
    <mergeCell ref="F40:F43"/>
    <mergeCell ref="A29:C29"/>
    <mergeCell ref="D29:F29"/>
    <mergeCell ref="E58:E59"/>
    <mergeCell ref="E47:E50"/>
    <mergeCell ref="C44:C48"/>
    <mergeCell ref="B44:B48"/>
    <mergeCell ref="A44:A48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3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Користувач Windows</cp:lastModifiedBy>
  <cp:lastPrinted>2020-06-25T05:54:02Z</cp:lastPrinted>
  <dcterms:created xsi:type="dcterms:W3CDTF">2018-12-04T09:08:53Z</dcterms:created>
  <dcterms:modified xsi:type="dcterms:W3CDTF">2020-07-09T07:39:03Z</dcterms:modified>
</cp:coreProperties>
</file>